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90" windowHeight="5625" activeTab="11"/>
  </bookViews>
  <sheets>
    <sheet name="BIỂU MẪU SỐ 69" sheetId="1" r:id="rId1"/>
    <sheet name="BM SỐ 70" sheetId="2" r:id="rId2"/>
    <sheet name="71" sheetId="3" r:id="rId3"/>
    <sheet name="72" sheetId="4" r:id="rId4"/>
    <sheet name="73" sheetId="5" r:id="rId5"/>
    <sheet name="74" sheetId="6" r:id="rId6"/>
    <sheet name="75" sheetId="7" r:id="rId7"/>
    <sheet name="76" sheetId="8" r:id="rId8"/>
    <sheet name="77" sheetId="9" r:id="rId9"/>
    <sheet name="78" sheetId="10" r:id="rId10"/>
    <sheet name="79" sheetId="11" r:id="rId11"/>
    <sheet name="80" sheetId="12" r:id="rId12"/>
    <sheet name="Sheet13" sheetId="13" r:id="rId13"/>
  </sheets>
  <definedNames>
    <definedName name="_xlnm.Print_Titles" localSheetId="3">'72'!$7:$10</definedName>
    <definedName name="_xlnm.Print_Titles" localSheetId="5">'74'!$7:$9</definedName>
    <definedName name="_xlnm.Print_Titles" localSheetId="6">'75'!$7:$10</definedName>
    <definedName name="_xlnm.Print_Titles" localSheetId="7">'76'!$7:$10</definedName>
    <definedName name="_xlnm.Print_Titles" localSheetId="11">'80'!$6:$10</definedName>
  </definedNames>
  <calcPr fullCalcOnLoad="1"/>
</workbook>
</file>

<file path=xl/sharedStrings.xml><?xml version="1.0" encoding="utf-8"?>
<sst xmlns="http://schemas.openxmlformats.org/spreadsheetml/2006/main" count="1532" uniqueCount="828">
  <si>
    <t>Biểu số 69/CK-NSNN</t>
  </si>
  <si>
    <t>(Dự toán trình Hội đồng nhân dân)</t>
  </si>
  <si>
    <t>STT</t>
  </si>
  <si>
    <t>NỘI DUNG</t>
  </si>
  <si>
    <t xml:space="preserve"> (năm hiện hành)</t>
  </si>
  <si>
    <t>So sánh (1) (%)</t>
  </si>
  <si>
    <t>A</t>
  </si>
  <si>
    <t>B</t>
  </si>
  <si>
    <t>I</t>
  </si>
  <si>
    <t>Thu ngân sách huyện được hưởng theo phân cấp</t>
  </si>
  <si>
    <t>-</t>
  </si>
  <si>
    <t>II</t>
  </si>
  <si>
    <t>Thu bổ sung từ ngân sách cấp trên</t>
  </si>
  <si>
    <t>Thu bổ sung cân đối</t>
  </si>
  <si>
    <t>Thu bổ sung có mục tiêu</t>
  </si>
  <si>
    <t>III</t>
  </si>
  <si>
    <t>Thu kết dư</t>
  </si>
  <si>
    <t>IV</t>
  </si>
  <si>
    <t>Thu chuyển nguồn từ năm trước chuyển sang</t>
  </si>
  <si>
    <t>TỔNG CHI NGÂN SÁCH HUYỆN</t>
  </si>
  <si>
    <t> I</t>
  </si>
  <si>
    <t>Chi đầu tư phát triển</t>
  </si>
  <si>
    <t>Chi thường xuyên</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</si>
  <si>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</si>
  <si>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</si>
  <si>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</si>
  <si>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</si>
  <si>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</si>
  <si>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</si>
  <si>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Ghi chú:(1) Đối với các chỉ tiêu thu, so sánh dự toán năm sau với ước thực hiện năm hiện hành. Đối với các chỉ tiêu chi, so sánh dự toán năm sau với dự toán năm hiện hành;</t>
  </si>
  <si>
    <t>Biểu số 70/CK-NSNN</t>
  </si>
  <si>
    <t>Đơn vị: Triệu đồng</t>
  </si>
  <si>
    <t>NGÂN SÁCH CẤP HUYỆN</t>
  </si>
  <si>
    <t>Nguồn thu ngân sách</t>
  </si>
  <si>
    <t>Thu ngân sách được hưởng theo phân cấp</t>
  </si>
  <si>
    <t>Chi ngân sách</t>
  </si>
  <si>
    <t>Chi thuộc nhiệm vụ của ngân sách cấp huyện</t>
  </si>
  <si>
    <t>Chi bổ sung cho ngân sách xã</t>
  </si>
  <si>
    <t> -</t>
  </si>
  <si>
    <t>Chi bổ sung cân đối</t>
  </si>
  <si>
    <t>Chi bổ sung có mục tiêu</t>
  </si>
  <si>
    <t>NGÂN SÁCH XÃ</t>
  </si>
  <si>
    <t>Thu bổ sung từ ngân sách cấp huyện</t>
  </si>
  <si>
    <t>- </t>
  </si>
  <si>
    <t>Ghi chú: (1) Đối với các chỉ tiêu thu, so sánh dự toán năm sau với ước thực hiện năm hiện hành. Đối với các chỉ tiêu chi, so sánh dự toán năm sau với dự toán năm hiện hành;</t>
  </si>
  <si>
    <t>Biểu số 71/CK-NSNN</t>
  </si>
  <si>
    <t>So sánh (%)</t>
  </si>
  <si>
    <t>TỔNG THU NSNN</t>
  </si>
  <si>
    <t>THU NSĐP</t>
  </si>
  <si>
    <t>5=3/1</t>
  </si>
  <si>
    <t>6=4/2</t>
  </si>
  <si>
    <t>TỔNG THU NGÂN SÁCH NHÀ NƯỚC</t>
  </si>
  <si>
    <t>Thu nội địa</t>
  </si>
  <si>
    <t>Thu từ khu vực DNNN do Trung ương quản lý</t>
  </si>
  <si>
    <t xml:space="preserve">Thu từ khu vực DNNN do Huyện quản lý </t>
  </si>
  <si>
    <t xml:space="preserve">Thu từ khu vực doanh nghiệp có vốn đầu tư nước ngoài </t>
  </si>
  <si>
    <t xml:space="preserve">Thu từ khu vực kinh tế ngoài quốc doanh </t>
  </si>
  <si>
    <t>Thuế thu nhập cá nhân</t>
  </si>
  <si>
    <t>Thuế bảo vệ môi trường</t>
  </si>
  <si>
    <t>Lệ phí trước bạ</t>
  </si>
  <si>
    <t>Thu phí, lệ phí</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</si>
  <si>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</si>
  <si>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</si>
  <si>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</si>
  <si>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</si>
  <si>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</si>
  <si>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 xml:space="preserve">Thu từ hoạt động xổ số kiến thiết </t>
  </si>
  <si>
    <t>(chi tiết theo sắc thuế)</t>
  </si>
  <si>
    <t>Thu tiền cấp quyền khai thác khoáng sản</t>
  </si>
  <si>
    <t>Thu khác ngân sách</t>
  </si>
  <si>
    <t>Thu từ quỹ đất công ích, hoa lợi công sản khác</t>
  </si>
  <si>
    <t>Thu viện trợ</t>
  </si>
  <si>
    <t>Biểu số 72/CK-NSNN</t>
  </si>
  <si>
    <t>Nội dung</t>
  </si>
  <si>
    <t>Ngân sách huyện</t>
  </si>
  <si>
    <t xml:space="preserve">Chia ra </t>
  </si>
  <si>
    <t>Ngân sách cấp huyện</t>
  </si>
  <si>
    <t>xã</t>
  </si>
  <si>
    <t>1=2+3</t>
  </si>
  <si>
    <t>CHI CÂN ĐỐI NGÂN SÁCH HUYỆN</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</si>
  <si>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</si>
  <si>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</si>
  <si>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</si>
  <si>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</si>
  <si>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</si>
  <si>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</si>
  <si>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phát triển khác</t>
  </si>
  <si>
    <t>Trong đó:</t>
  </si>
  <si>
    <t>Chi dự phòng ngân sách</t>
  </si>
  <si>
    <t>CHI CÁC CHƯƠNG TRÌNH MỤC TIÊU</t>
  </si>
  <si>
    <t>(Chi tiết theo từng chương trình mục tiêu quốc gia)</t>
  </si>
  <si>
    <t>C</t>
  </si>
  <si>
    <t>CHI CHUYỂN NGUỒN SANG NĂM SAU</t>
  </si>
  <si>
    <t>Biểu số 73/CK-NSNN</t>
  </si>
  <si>
    <t>Dự toán</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</si>
  <si>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</si>
  <si>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</si>
  <si>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</si>
  <si>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</si>
  <si>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</si>
  <si>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</si>
  <si>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</si>
  <si>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</si>
  <si>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</si>
  <si>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</si>
  <si>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</si>
  <si>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</si>
  <si>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</si>
  <si>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</si>
  <si>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</si>
  <si>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</si>
  <si>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</si>
  <si>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</si>
  <si>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 xml:space="preserve">Dự phòng ngân sách </t>
  </si>
  <si>
    <t xml:space="preserve">Chi tạo nguồn, điều chỉnh tiền lương </t>
  </si>
  <si>
    <t>Biểu số 74/CK-NSNN</t>
  </si>
  <si>
    <t>TÊN ĐƠN VỊ</t>
  </si>
  <si>
    <t xml:space="preserve">TỔNG SỐ </t>
  </si>
  <si>
    <t>CHI ĐẦU TƯ PHÁT TRIỂN (KHÔNG KỂ CHƯƠNG TRÌNH MỤC TIÊU QUỐC GIA)</t>
  </si>
  <si>
    <t>CHI THƯỜNG XUYÊN (KHÔNG KỂ CHƯƠNG TRÌNH MỤC TIÊU QUỐC GIA)</t>
  </si>
  <si>
    <t>CHI DỰ PHÒNG NGÂN SÁCH</t>
  </si>
  <si>
    <t>CHI TẠO NGUỒN, ĐIỀU CHỈNH TIỀN LƯƠNG</t>
  </si>
  <si>
    <t>CHI CHƯƠNG TRÌNH MTQG</t>
  </si>
  <si>
    <t>CHI CHUYỂN NGUỒN SANG NGÂN SÁCH NĂM SAU</t>
  </si>
  <si>
    <t>TỔNG SỐ</t>
  </si>
  <si>
    <t>CHI ĐẦU TƯ PHÁT TRIỂN</t>
  </si>
  <si>
    <t>CHI THƯỜNG XUYÊN</t>
  </si>
  <si>
    <t>CÁC CƠ QUAN, TỔ CHỨC</t>
  </si>
  <si>
    <t>Cơ quan A</t>
  </si>
  <si>
    <t>Tổ chức B</t>
  </si>
  <si>
    <t>…</t>
  </si>
  <si>
    <t xml:space="preserve">CHI BỔ SUNG CÓ MỤC TIÊU CHO NGÂN SÁCH XÃ </t>
  </si>
  <si>
    <t>V</t>
  </si>
  <si>
    <t>Biểu số 75/CK-NSNN</t>
  </si>
  <si>
    <t>TRONG ĐÓ</t>
  </si>
  <si>
    <t>CHI GIÁO DỤC - ĐÀO TẠO VÀ DẠY NGHỀ</t>
  </si>
  <si>
    <t>CHI KHOA HỌC VÀ CÔNG NGHỆ</t>
  </si>
  <si>
    <t>CHI VĂN HÓA THÔNG TIN</t>
  </si>
  <si>
    <t>CHI THỂ DỤC THỂ THAO</t>
  </si>
  <si>
    <t>CHI BẢO VỆ MÔI TRƯỜNG</t>
  </si>
  <si>
    <t>CHI CÁC HOẠT ĐỘNG KINH TẾ</t>
  </si>
  <si>
    <t>CHI HOẠT ĐỘNG CỦA CƠ QUAN QUẢN LÝ ĐỊA PHƯƠNG, ĐẢNG, ĐOÀN THỂ</t>
  </si>
  <si>
    <t>CHI BẢO ĐẢM XÃ HỘI</t>
  </si>
  <si>
    <t>CHI GIAO THÔNG</t>
  </si>
  <si>
    <t>CHI NÔNG NGHIỆP, LÂM NGHIỆP, THỦY LỢI, THỦY SẢN</t>
  </si>
  <si>
    <t>Biểu số 76/CK-NSNN</t>
  </si>
  <si>
    <t>Biểu số 77/CK-NSNN</t>
  </si>
  <si>
    <t>Stt</t>
  </si>
  <si>
    <t>Tên đơn vị</t>
  </si>
  <si>
    <t>Tổng thu NSNN trên địa bàn</t>
  </si>
  <si>
    <t>Thu ngân sách xã được hưởng theo phân cấp</t>
  </si>
  <si>
    <t>Chi bổ sung thực hiện điều chỉnh tiền lương</t>
  </si>
  <si>
    <t>Tổng số</t>
  </si>
  <si>
    <t xml:space="preserve">Thu ngân sách xã hưởng từ các khoản thu phân chia </t>
  </si>
  <si>
    <t>Xã A</t>
  </si>
  <si>
    <t>Phường B</t>
  </si>
  <si>
    <t>Thị trấn C</t>
  </si>
  <si>
    <t>Biểu số 78/CK-NSNN</t>
  </si>
  <si>
    <t>Bổ sung vốn đầu tư để thực hiện các chương trình mục tiêu, nhiệm vụ</t>
  </si>
  <si>
    <t>Bổ sung vốn sự nghiệp để thực hiện các chế độ, chính sách, nhiệm vụ</t>
  </si>
  <si>
    <t>Bổ sung thực hiện các chương trình mục tiêu quốc gia</t>
  </si>
  <si>
    <t>Biểu số 79/CK-NSNN</t>
  </si>
  <si>
    <t>Trong đó</t>
  </si>
  <si>
    <t>Chương trình mục tiêu quốc gia …</t>
  </si>
  <si>
    <t>Đầu tư phát triển</t>
  </si>
  <si>
    <t>Kinh phí sự nghiệp</t>
  </si>
  <si>
    <t>Vốn trong nước</t>
  </si>
  <si>
    <t>Vốn ngoài nước</t>
  </si>
  <si>
    <t>2=5+12</t>
  </si>
  <si>
    <t>3=8+15</t>
  </si>
  <si>
    <t>4=5+8</t>
  </si>
  <si>
    <t>5=6+7</t>
  </si>
  <si>
    <t>8=9+10</t>
  </si>
  <si>
    <t>11=12+15</t>
  </si>
  <si>
    <t>12=13+14</t>
  </si>
  <si>
    <t>15=16+17</t>
  </si>
  <si>
    <t>Danh mục dự án</t>
  </si>
  <si>
    <t>Địa điểm xây dựng</t>
  </si>
  <si>
    <t>Năng lực thiết kế</t>
  </si>
  <si>
    <t>Thời gian khởi công - hoàn thành</t>
  </si>
  <si>
    <t>Quyết định đầu tư</t>
  </si>
  <si>
    <t>Số Quyết định, ngày, tháng, năm ban hành</t>
  </si>
  <si>
    <t>Tổng mức đầu tư được duyệt</t>
  </si>
  <si>
    <t>Tổng số (tất cả các nguồn vốn)</t>
  </si>
  <si>
    <t>Chia theo nguồn vốn</t>
  </si>
  <si>
    <t>ĐVT: Triệu đồng</t>
  </si>
  <si>
    <r>
      <t xml:space="preserve"> </t>
    </r>
    <r>
      <rPr>
        <sz val="10"/>
        <rFont val="Cambria"/>
        <family val="1"/>
      </rPr>
      <t>(năm hiện hành)</t>
    </r>
  </si>
  <si>
    <t>Thu tạo nguồn thực hiện CCTL tăng thêm</t>
  </si>
  <si>
    <t>VI</t>
  </si>
  <si>
    <t>VII</t>
  </si>
  <si>
    <t>Thu huy động, đóng góp</t>
  </si>
  <si>
    <t>Thu ngân sách cấp dưới nộp lên</t>
  </si>
  <si>
    <t>- Thuế tài nguyên</t>
  </si>
  <si>
    <t>Thu do Chi cục thuế quản lý</t>
  </si>
  <si>
    <t>Thu do Cục thuế quản lý</t>
  </si>
  <si>
    <t xml:space="preserve">Thuế giá trị gia tăng </t>
  </si>
  <si>
    <t xml:space="preserve">Thuế thu nhập doanh nghiệp </t>
  </si>
  <si>
    <t>*</t>
  </si>
  <si>
    <t>Thuế giá trị gia tăng &amp; TNDN</t>
  </si>
  <si>
    <t>Thuế tiêu thụ đặc biệt</t>
  </si>
  <si>
    <t>Thuế tài nguyên</t>
  </si>
  <si>
    <t>Thu khác</t>
  </si>
  <si>
    <t xml:space="preserve"> Thuế môn bài</t>
  </si>
  <si>
    <t>Ngân sách xã</t>
  </si>
  <si>
    <t>Bổ sung kinh phí thực hiện cuộc vận động "Toàn dân đoàn kết XD NTM, đô thị văn minh"</t>
  </si>
  <si>
    <t>Hỗ trợ do bỏ quy định thu quỹ quốc phòng an ninh</t>
  </si>
  <si>
    <t>Chi cộng tác viên công tác giảm nghèo ở xã đặc biệt khó khăn</t>
  </si>
  <si>
    <t>Chi đầu tư từ nguồn vốn đầu tư tập trung ngân sách tỉnh</t>
  </si>
  <si>
    <t>Chi đầu tư từ nguồn vốn thu chuyển nguồn (tăng thu tiền sử dụng đất năm 2018)</t>
  </si>
  <si>
    <t>Chi đầu tư từ nguồn vốn thu hồi vốn XD hạ tầng các CCN</t>
  </si>
  <si>
    <t>Chi các hoạt động kinh tế</t>
  </si>
  <si>
    <t>Chi bảo vệ môi trường</t>
  </si>
  <si>
    <t>Chi đảm bảo xã hội</t>
  </si>
  <si>
    <t>Chi hoạt động của các cơ quan quản lý nhà nước, Đảng, đoàn thể</t>
  </si>
  <si>
    <t>Chi Văn hóa - thông tin</t>
  </si>
  <si>
    <t>Chi Thể dục thể thao</t>
  </si>
  <si>
    <t>Chi Khoa học công nghệ</t>
  </si>
  <si>
    <t>Dự toán năm 2020</t>
  </si>
  <si>
    <t>Hỗ trợ chính sách bảo vệ và phát triển đất trồng lúa</t>
  </si>
  <si>
    <t>Hỗ trợ kinh phí tiếp xúc cử tri của Đại biểu HĐND</t>
  </si>
  <si>
    <t>Bổ sung chi cho Ban Thanh tra nhân dân (do tăng mức chi từ 2 triệu đồng đến 5 triệu đồng)</t>
  </si>
  <si>
    <t>Hỗ trợ kinh phí hoạt động tăng thêm cho Mặt trận Tổ quốc và các tổ chức chính trị - xã hội ở cấp xã, thôn, khối phố</t>
  </si>
  <si>
    <t>Hỗ trợ kinh phí chúc thọ, mừng thọ</t>
  </si>
  <si>
    <t>Hỗ trợ lực lượng quản lý đê nhân dân</t>
  </si>
  <si>
    <t>Thực hiện chính sách cấp bù thủy lợi phí</t>
  </si>
  <si>
    <t>Thực hiện Luật người cao tuổi, khuyết tật và chính sách bảo trợ xã hội</t>
  </si>
  <si>
    <t>Chi công tác đảm bảo an toàn giao thông</t>
  </si>
  <si>
    <t>Hỗ trợ chi giám sát, phản biện xã hội</t>
  </si>
  <si>
    <t>Chi hỗ trợ cho đô thị loại V của các xã, thị trấn</t>
  </si>
  <si>
    <t>Chi sửa chữa, nâng cấp trường lớp học; mua sắm trang thiết bị dạy học</t>
  </si>
  <si>
    <t>Kinh phí thực hiện các chính sách cho học sinh khuyết tật</t>
  </si>
  <si>
    <t>Kinh phí thực hiện dịch vụ chi trả trợ cấp cho đối tượng bảo trợ xã hội thông qua hệ thống bưu điện</t>
  </si>
  <si>
    <t>Kinh phí do chuyển Trạm Thú y, Trồng trọt và Bảo vệ thực vật từ tỉnh sang cho huyện quản lý</t>
  </si>
  <si>
    <t>Kinh phí kiến thiết thị chính; chỉnh trang, nâng cấp, phát triển môi trường, cảnh quan các đô thị; quảng bá, phát triển văn hóa - du lịch; xây dựng nông thôn mới kiểu mẫu</t>
  </si>
  <si>
    <t>Chi văn hóa thông tin thể dục thể thao</t>
  </si>
  <si>
    <t>Phòng Kinh tế</t>
  </si>
  <si>
    <t>Phòng Tài chính - Kế hoạch</t>
  </si>
  <si>
    <t>Phòng Lao động - Thương binh và XH</t>
  </si>
  <si>
    <t>Phòng Quản lý đô thị</t>
  </si>
  <si>
    <t>Phòng Tài nguyên và Môi trường</t>
  </si>
  <si>
    <t>Phòng Tư pháp</t>
  </si>
  <si>
    <t>Phòng Giáo dục</t>
  </si>
  <si>
    <t>Phòng Y tế</t>
  </si>
  <si>
    <t>Phòng Nội vụ</t>
  </si>
  <si>
    <t>Phòng Văn hóa - Thông tin</t>
  </si>
  <si>
    <t>Hội Nông dân</t>
  </si>
  <si>
    <t>UBMT TQ Việt Nam</t>
  </si>
  <si>
    <t>Hội Cựu chiến binh</t>
  </si>
  <si>
    <t>Trung tâm dịch vụ nông nghiệp</t>
  </si>
  <si>
    <t>Trung tâm giáo dục thường xuyên</t>
  </si>
  <si>
    <t>Trung tâm Văn hóa - Thông tin - thể thao</t>
  </si>
  <si>
    <t>Ban QL rừng phòng hộ</t>
  </si>
  <si>
    <t>Hạt Kiểm lâm</t>
  </si>
  <si>
    <t>Đội QL trật tự đô thị</t>
  </si>
  <si>
    <t>HTX nông nghiệp Hoài Sơn</t>
  </si>
  <si>
    <t>HTX nông nghiệp Hoài Châu Bắc</t>
  </si>
  <si>
    <t>HTX nông nghiệp Hoài Châu</t>
  </si>
  <si>
    <t>HTX nông nghiệp Hoài Phú</t>
  </si>
  <si>
    <t>HTX nông nghiệp Hoài Hảo</t>
  </si>
  <si>
    <t>HTX nông nghiệp Hoài Tân</t>
  </si>
  <si>
    <t xml:space="preserve">HTX nông nghiệp Bồng Sơn Tây </t>
  </si>
  <si>
    <t>HTX nông nghiệp Hoài Mỹ</t>
  </si>
  <si>
    <t>HTX nông nghiệp Hoài Đức</t>
  </si>
  <si>
    <t>HTX nông nghiệp Tam Quan Bắc</t>
  </si>
  <si>
    <t>HTX nông nghiệp Hoài Xuân</t>
  </si>
  <si>
    <t>HTX nông nghiệp Tam Quan Nam</t>
  </si>
  <si>
    <t>HTX Hoài Thanh</t>
  </si>
  <si>
    <t>HTX nông nghiệp Ngọc An</t>
  </si>
  <si>
    <t>HTX nông nghiệp Hoài Hương</t>
  </si>
  <si>
    <t>HTX nông nghiệp Tam Quan</t>
  </si>
  <si>
    <t>HTX nông nghiệp Hoài Hải</t>
  </si>
  <si>
    <t>BQL dự án ĐTXD và PTQĐ</t>
  </si>
  <si>
    <t>Kinh phí chưa phân bổ</t>
  </si>
  <si>
    <t>43.1</t>
  </si>
  <si>
    <t>Chi sự nghiệp kinh tế</t>
  </si>
  <si>
    <t xml:space="preserve"> + </t>
  </si>
  <si>
    <t>+</t>
  </si>
  <si>
    <t>43.2</t>
  </si>
  <si>
    <t>43.3</t>
  </si>
  <si>
    <t>Chi sự nghiệp giáo dục khác</t>
  </si>
  <si>
    <t>KP sửa chữa trường lớp học, mua sắm trang thiết bị dạy học</t>
  </si>
  <si>
    <t>Chi các hoạt động sự nghiệp giáo dục phát sinh khác</t>
  </si>
  <si>
    <t>43.4</t>
  </si>
  <si>
    <t>Chi sự nghiệp đào tạo</t>
  </si>
  <si>
    <t>43.5</t>
  </si>
  <si>
    <t>Chi đảm bảo xã hội khác</t>
  </si>
  <si>
    <t>43.6</t>
  </si>
  <si>
    <t>Hỗ trợ tổ chức xã hội, xã hội - nghề nghiệp</t>
  </si>
  <si>
    <t>43.7</t>
  </si>
  <si>
    <t>43.8</t>
  </si>
  <si>
    <t>Chi khác ngân sách</t>
  </si>
  <si>
    <t>Ngân hàng chính sách XH huyện HN</t>
  </si>
  <si>
    <t>Chi khoa học công nghệ</t>
  </si>
  <si>
    <t>Công trình xã làm chủ đầu tư, NS huyện hỗ trợ</t>
  </si>
  <si>
    <t>CHI BỔ SUNG CÓ MỤC TIÊU CHO NGÂN SÁCH XÃ</t>
  </si>
  <si>
    <t>TRANG BỊ ỨNG DỤNG CNTT VÀ CẢI CÁCH TTHC</t>
  </si>
  <si>
    <t>CHI KHÁC NS</t>
  </si>
  <si>
    <t>CHI SN NÔNG NGHIỆP</t>
  </si>
  <si>
    <t>CHI SN KIẾN THIẾT THỊ CHÍNH</t>
  </si>
  <si>
    <t>CHI SN LÂM NGHIỆP</t>
  </si>
  <si>
    <t>CHI SN KINH TẾ KHÁC</t>
  </si>
  <si>
    <t>CHI VĂN HÓA THÔNG TIN THỂ THAO</t>
  </si>
  <si>
    <t>CHI SỰ NGHIỆP ĐÀO TẠO</t>
  </si>
  <si>
    <t>CHI ĐẦU TƯ PHÁT TRIỂN KHÁC</t>
  </si>
  <si>
    <t>UBND HUYỆN HOÀI NHƠN</t>
  </si>
  <si>
    <t>DỰ TOÁN CHI CHƯƠNG TRÌNH MỤC TIÊU QUỐC GIA NGÂN SÁCH CẤP HUYỆN VÀ NGÂN SÁCH XÃ NĂM 2020</t>
  </si>
  <si>
    <t>Ngân sách trung ương, Tỉnh</t>
  </si>
  <si>
    <t>Ngân sách xã, khác</t>
  </si>
  <si>
    <t>ƯTH NĂM 2020</t>
  </si>
  <si>
    <t>Dự toán năm 2021</t>
  </si>
  <si>
    <t>TỔNG NGUỒN THU NGÂN SÁCH THỊ XÃ</t>
  </si>
  <si>
    <t>Thu ngân sách thị xã hưởng 100%</t>
  </si>
  <si>
    <t xml:space="preserve">Thu ngân sách thị xã hưởng từ các khoản thu phân chia </t>
  </si>
  <si>
    <t>TỔNG CHI NGÂN SÁCH THỊ XÃ</t>
  </si>
  <si>
    <t>Tổng chi cân đối ngân sách thị xã</t>
  </si>
  <si>
    <t>CÂN ĐỐI NGÂN SÁCH THỊ XÃ NĂM 2021</t>
  </si>
  <si>
    <t>UBND THỊ XÃ HOÀI NHƠN</t>
  </si>
  <si>
    <t>Ước thực hiện năm 2020</t>
  </si>
  <si>
    <t>CÂN ĐỐI NGUỒN THU, CHI DỰ TOÁN NGÂN SÁCH CẤP HUYỆN VÀ NGÂN SÁCH XÃ NĂM 2021</t>
  </si>
  <si>
    <t>DỰ TOÁN THU NGÂN SÁCH NHÀ NƯỚC NĂM 2021</t>
  </si>
  <si>
    <t>DỰ TOÁN CHI NGÂN SÁCH HUYỆN, CHI NGÂN SÁCH CẤP HUYỆN VÀ CHI NGÂN SÁCH XÃ THEO CƠ CẤU CHI NĂM 2021</t>
  </si>
  <si>
    <t>DỰ TOÁN CHI NGÂN SÁCH CẤP HUYỆN THEO TỪNG LĨNH VỰC NĂM 2021</t>
  </si>
  <si>
    <t>DỰ TOÁN CHI NGÂN SÁCH CẤP HUYỆN CHO TỪNG CƠ QUAN, TỔ CHỨC NĂM 2021</t>
  </si>
  <si>
    <t xml:space="preserve">VP HĐND và UBND </t>
  </si>
  <si>
    <t>Thanh tra thị xã</t>
  </si>
  <si>
    <t>Lễ hội văn hóa miền núi</t>
  </si>
  <si>
    <t>Trang bị, ứng dụng công nghệ và cải cách thủ tục hành chính; phần mềm quản lý ngân sách</t>
  </si>
  <si>
    <t>Thị ủy Hoài Nhơn</t>
  </si>
  <si>
    <t>Trung tâm chính trị thị xã</t>
  </si>
  <si>
    <t>Thị đoàn</t>
  </si>
  <si>
    <t>Hội Liên hiệp Phụ nữ</t>
  </si>
  <si>
    <t>Kinh phí đối ứng các chương trình, dự án của tỉnh</t>
  </si>
  <si>
    <t>Kinh phí hỗ trợ các xã, phường trồng cây xanh, thảm bê tông nhựa, điện chiếu sáng, hệ thống thoát nước, vĩa hè và xây dựng hoa viên, công viên.</t>
  </si>
  <si>
    <r>
      <t xml:space="preserve">Kinh phí chỉnh trang, trang trí các điểm nhấn trên địa bàn thị xã nhân dịp tổ chức các ngày lễ lớn và Tết Nguyên Đán 2021 </t>
    </r>
    <r>
      <rPr>
        <i/>
        <sz val="11"/>
        <rFont val="Times New Roman"/>
        <family val="1"/>
      </rPr>
      <t>(Bao gồm: KP Lễ hội hoa và biểu tượng linh vật tại Quảng trường thị xã Hoài Nhơn)</t>
    </r>
  </si>
  <si>
    <t>Kinh phí cấp bù thủy lợi phí</t>
  </si>
  <si>
    <t>Trang bị ứng dụng CNTT và cải cách thủ tục hành chính</t>
  </si>
  <si>
    <t>Dự phòng chi KH vốn công trình khởi công xây dựng mới 2021</t>
  </si>
  <si>
    <t>Danh mục công trình chuẩn bị đầu tư và lập quy hoạch</t>
  </si>
  <si>
    <t>Chi sự nghiệp y tế</t>
  </si>
  <si>
    <t>Văn phòng HĐND và UBND</t>
  </si>
  <si>
    <t>CHI HOẠT ĐỘNG Y TẾ</t>
  </si>
  <si>
    <t>8.1</t>
  </si>
  <si>
    <t>8.2</t>
  </si>
  <si>
    <t>8.3</t>
  </si>
  <si>
    <t>8.4</t>
  </si>
  <si>
    <t>Công trình khởi công xây dựng mới 2021</t>
  </si>
  <si>
    <t>43.9</t>
  </si>
  <si>
    <t>43.10</t>
  </si>
  <si>
    <t>43.11</t>
  </si>
  <si>
    <t>Hoài Sơn</t>
  </si>
  <si>
    <t>Hoài Châu Bắc</t>
  </si>
  <si>
    <t xml:space="preserve">Hoài Châu  </t>
  </si>
  <si>
    <t>Tam Quan</t>
  </si>
  <si>
    <t>Tam Quan Bắc</t>
  </si>
  <si>
    <t>Tam Quan Nam</t>
  </si>
  <si>
    <t>Hoài Phú</t>
  </si>
  <si>
    <t>Hoài Hảo</t>
  </si>
  <si>
    <t>Hoài Thanh Tây</t>
  </si>
  <si>
    <t xml:space="preserve">Hoài Thanh   </t>
  </si>
  <si>
    <t>Hoài Hương</t>
  </si>
  <si>
    <t>Hoài Hải</t>
  </si>
  <si>
    <t>Hoài Xuân</t>
  </si>
  <si>
    <t>Hoài Tân</t>
  </si>
  <si>
    <t>Bồng Sơn</t>
  </si>
  <si>
    <t>Hoài Đức</t>
  </si>
  <si>
    <t>Hoài Mỹ</t>
  </si>
  <si>
    <t>Phòng Giáo dục và Đào tạo</t>
  </si>
  <si>
    <t>Phòng Giáo dục và Đào tạo làm đại diện chủ đầu tư</t>
  </si>
  <si>
    <t>1</t>
  </si>
  <si>
    <t>Trường Mầm non Hoài Hương, hạng mục: Nhà bộ môn 02 tầng 06 phòng</t>
  </si>
  <si>
    <t>2</t>
  </si>
  <si>
    <t>Trường TH số 1 Hoài Hương, hạng mục: xây dựng hồ bơi</t>
  </si>
  <si>
    <t>3</t>
  </si>
  <si>
    <t>Trường TH số 2 Tam Quan Nam, hạng mục: xây dựng hồ bơi</t>
  </si>
  <si>
    <t>4</t>
  </si>
  <si>
    <t>Trường Mẫu giáo Hoài Mỹ; hạng mục: Xây dựng mới 01 phòng học, nhà bếp, sân trường và tường rào</t>
  </si>
  <si>
    <t>5</t>
  </si>
  <si>
    <t>Trường THCS Hoài Hải, Hạng mục: Xây dựng Nhà hiệu bộ</t>
  </si>
  <si>
    <t xml:space="preserve"> Hoài Hương</t>
  </si>
  <si>
    <t>2018-2020</t>
  </si>
  <si>
    <t>2018-2019</t>
  </si>
  <si>
    <t>265 ngày 30/10/2018</t>
  </si>
  <si>
    <t>382A ngày 05/02/2020</t>
  </si>
  <si>
    <t>465 ngày 11/02/202</t>
  </si>
  <si>
    <t>13417 ngày 23/12/2019</t>
  </si>
  <si>
    <t>3785 ngày 29/5/2020</t>
  </si>
  <si>
    <t>Lũy kế vốn đã bố trí đến 31/12/2020</t>
  </si>
  <si>
    <t>Kế hoạch vốn năm 2021</t>
  </si>
  <si>
    <t>Trường THCS Hoài Hải, hạng mục: Nhà bộ môn 02 tầng 04 phòng</t>
  </si>
  <si>
    <t>Trường TH Hoài Đức, hạng mục: Xây dựng nhà hiệu bộ</t>
  </si>
  <si>
    <t>Trường THCS Hoài Phú - Xây dựng nhà hiệu bộ</t>
  </si>
  <si>
    <t>Trường MG Hoài Mỹ; HM: Xây dựng 03 phòng học (Lộ Diêu)</t>
  </si>
  <si>
    <t>2019-2021</t>
  </si>
  <si>
    <t>2019 - 2021</t>
  </si>
  <si>
    <t>2018 - 2020</t>
  </si>
  <si>
    <t xml:space="preserve">273 ngày 11/11/2019 </t>
  </si>
  <si>
    <t>8439 ngày 29/10/2018</t>
  </si>
  <si>
    <t>8506 ngày 30/10/2018</t>
  </si>
  <si>
    <t xml:space="preserve">9462a ngày 30/10/2017
4424a ngày 29/6/2018 </t>
  </si>
  <si>
    <t>6</t>
  </si>
  <si>
    <t>7</t>
  </si>
  <si>
    <t>8</t>
  </si>
  <si>
    <t>9</t>
  </si>
  <si>
    <t>10</t>
  </si>
  <si>
    <t>11</t>
  </si>
  <si>
    <t>12</t>
  </si>
  <si>
    <t>BQL Dự án ĐTXD và Phát triển quỹ đất đại diện chủ đầu tư</t>
  </si>
  <si>
    <t>Trường TH Hoài Xuân, hạng mục: Nhà lớp học 02 tầng 10 phòng</t>
  </si>
  <si>
    <t xml:space="preserve"> Hoài Xuân</t>
  </si>
  <si>
    <t>2019-2020</t>
  </si>
  <si>
    <t>246 ngày 10/8/2020</t>
  </si>
  <si>
    <t>Trường THCS Tam Quan Bắc, hạng mục: Nhà bộ môn 02 tầng 06 phòng</t>
  </si>
  <si>
    <t xml:space="preserve"> Tam Quan Bắc</t>
  </si>
  <si>
    <t>Trường TH Hoài Phú. Hạng mục: Nhà lớp học 02 tầng 08 phòng</t>
  </si>
  <si>
    <t>Trường TH số 2 Hoài Sơn. Hạng mục: Nhà lớp học 02 tầng 08 phòng</t>
  </si>
  <si>
    <t>xã Hoài Sơn</t>
  </si>
  <si>
    <t>291 ngày 23/9/2020</t>
  </si>
  <si>
    <t>126 ngày 23/4/2020</t>
  </si>
  <si>
    <t>255 ngày 11/8/2020</t>
  </si>
  <si>
    <t>Trường Mầm non Hoài Châu Bắc</t>
  </si>
  <si>
    <t xml:space="preserve"> Hoài Châu Bắc</t>
  </si>
  <si>
    <t>2013-2013</t>
  </si>
  <si>
    <t>8050 ngày 17/12/2013 và 8532 ngày 02/12/2015</t>
  </si>
  <si>
    <t>Trường THCS Hoài Tân, hạng mục: Nhà bộ môn 02 tầng 06 phòng và Nhà hiệu bộ</t>
  </si>
  <si>
    <t>Trường TH số 3 Bồng Sơn, hạng mục: Nhà lớp học 02 tầng 08 phòng</t>
  </si>
  <si>
    <t>Trường TH số 1 Hoài Thanh Tây, hạng mục: Nhà lớp học 03 tầng 12 phòng và Nhà hiệu bộ</t>
  </si>
  <si>
    <t>Trường TH số 1 Hoài Hảo, hạng mục: Nhà lớp học 02 tầng 08 phòng</t>
  </si>
  <si>
    <t xml:space="preserve"> Hoài Hảo</t>
  </si>
  <si>
    <t>Trường TH và THCS Hoài Phú, hạng mục: Nhà bộ môn 02 tầng 06 phòng</t>
  </si>
  <si>
    <t>Trường TH số 2 Tam Quan, hạng mục: Nhà lớp học 02 tầng 08 phòng</t>
  </si>
  <si>
    <t xml:space="preserve"> Tam Quan</t>
  </si>
  <si>
    <t>Trường TH số 1 Tam Quan Bắc (điểm Trường Xuân Tây), hạng mục: San nền mặt bằng, nhà lớp học 02 tầng 10 phòng tường rào cổng ngõ và khu vệ sinh</t>
  </si>
  <si>
    <t>278 ngày 30/10/18</t>
  </si>
  <si>
    <t>250 ngày 30/10/2018</t>
  </si>
  <si>
    <t>34 ngày 13/3/2019</t>
  </si>
  <si>
    <t xml:space="preserve">181 ngày 30/9/2019 </t>
  </si>
  <si>
    <t xml:space="preserve">180 ngày 30/9/2019 </t>
  </si>
  <si>
    <t>179 30/9/2019</t>
  </si>
  <si>
    <t>159 ngày 09/9/2019</t>
  </si>
  <si>
    <t>Trường THCS Hoài Hương, hạng mục bổ sung: Nhà hiệu bộ</t>
  </si>
  <si>
    <t>Hoài hương</t>
  </si>
  <si>
    <t>Trường TH số 1 Tam Quan, hạng mục bổ sung: Nhà hiệu bộ</t>
  </si>
  <si>
    <t>Trường TH số 1 Hoài Châu Bắc, hạng mục Nhà lớp học 03 tầng 18 phòng</t>
  </si>
  <si>
    <t>Trường TH Hoài Đức, hạng mục: Nhà lớp học 02 tầng 08 phòng</t>
  </si>
  <si>
    <t>176 ngày 27/10/2016 214 ngày 08/9/2020</t>
  </si>
  <si>
    <t>177 ngày 27/10/2016 213 ngày 08/9/2020</t>
  </si>
  <si>
    <t xml:space="preserve">32 ngày 15/01/2020 </t>
  </si>
  <si>
    <t>2020-2022</t>
  </si>
  <si>
    <t>210 ngày 29/10/2019</t>
  </si>
  <si>
    <t>Trường TH số 1 Bồng Sơn, hạng mục: Nhà lớp học, nhà bộ môn 02 tầng 14 phòng</t>
  </si>
  <si>
    <t>Trường TH số 1 Hoài Hương, hạng mục: Nhà lớp học, nhà bộ môn 02 tầng 12 phòng (06 phòng học + 06 phòng bộ môn) và Nhà hiệu bộ</t>
  </si>
  <si>
    <t>Trường TH số 2 Hoài Hảo, hạng mục: Nhà lớp học, nhà bộ môn 03 tầng 18 phòng (12 phòng học + 06 phòng bộ môn</t>
  </si>
  <si>
    <t>Trường TH Hoài Châu, hạng mục Nhà lớp học, nhà bộ môn 02 tầng 14 phòng (08 phòng học + 06 phòng bộ môn) và Nhà hiệu bộ</t>
  </si>
  <si>
    <t>Trường TH số 2 Tam Quan Bắc, hạng mục: Nhà lớp học 03 tầng 12 phòng và Nhà hiệu bộ</t>
  </si>
  <si>
    <t>Trường THCS Hoài Thanh, hạng mục: Nhà bộ môn 02 tầng 06 phòng và Nhà hiệu bộ</t>
  </si>
  <si>
    <t>Trường THCS Hoài Mỹ, hạng mục: Nhà bộ môn, nhà lớp học 02 tầng 12 phòng và Nhà hiệu bộ</t>
  </si>
  <si>
    <t>Trường TH số 1 Hoài Tân, hạng mục: Nhà lớp học, nhà bộ môn 03 tầng 12 phòng; Nhà hiệu bộ và Tường rào</t>
  </si>
  <si>
    <t>Hoài Châu</t>
  </si>
  <si>
    <t>Hoài Thanh</t>
  </si>
  <si>
    <t>Chi hoạt động kinh tế</t>
  </si>
  <si>
    <t>13</t>
  </si>
  <si>
    <t>14</t>
  </si>
  <si>
    <t>15</t>
  </si>
  <si>
    <t>16</t>
  </si>
  <si>
    <t>17</t>
  </si>
  <si>
    <t>18</t>
  </si>
  <si>
    <t>19</t>
  </si>
  <si>
    <t>20</t>
  </si>
  <si>
    <t>21</t>
  </si>
  <si>
    <t>22</t>
  </si>
  <si>
    <t>23</t>
  </si>
  <si>
    <t>24</t>
  </si>
  <si>
    <t>Đường bê tông GTNT và cầu qua kênh N1</t>
  </si>
  <si>
    <t xml:space="preserve"> Hoài Thanh Tây</t>
  </si>
  <si>
    <t>Kè nối tiếp thượng lưu đập ngăn mặn Công Lương, xã Hoài Mỹ</t>
  </si>
  <si>
    <t>xã Hoài Mỹ</t>
  </si>
  <si>
    <t>2013-2014</t>
  </si>
  <si>
    <t>2988 ngày 16/9/2015</t>
  </si>
  <si>
    <t>2014-2015</t>
  </si>
  <si>
    <t>3123 ngày 28/9/2015</t>
  </si>
  <si>
    <t>Xây dựng tuyến đường và hệ thống điện vào khu SH02-BĐ thuộc BCH QS tỉnh</t>
  </si>
  <si>
    <t>Sửa chữa nâng cấp Tràn Bộng Chức, xã Hoài Phú</t>
  </si>
  <si>
    <t>xã Hoài Phú</t>
  </si>
  <si>
    <t xml:space="preserve">Sửa chữa trụ sở làm việc Thường trực HĐND và UBND huyện </t>
  </si>
  <si>
    <t xml:space="preserve"> Bồng Sơn</t>
  </si>
  <si>
    <t>Xây dựng và lắp đặt hệ thống tưới nước cây xanh Đền thờ Liệt sỹ huyện</t>
  </si>
  <si>
    <t>Cắm mốc giới theo quy hoạch xây dựng và pano công bố quy hoạch đồ án Quy hoạch phân khu xây dựng tỷ lệ 1/2000 khu dân cư, dịch vụ, thương mại dọc bờ biển huyện Hoài Nhơn</t>
  </si>
  <si>
    <t>Tam Quan Bắc, Tam Quan Nam, Hoài Thanh, Hoài Hương</t>
  </si>
  <si>
    <t>Rà phá bom mìn Cụm CN Ngọc Sơn - Hoài Thanh Tây</t>
  </si>
  <si>
    <t>Rà phá bom mìn Cụm CN Hoài Châu</t>
  </si>
  <si>
    <t>ĐTXD HTKT Khu hành chính, dịch vụ và dân cư tuyến đường Bạch Đằng (giai đoạn 1- kỳ 1)</t>
  </si>
  <si>
    <t>Xử lý nước thải chế biến thủy sản tập trung khu chế biến thủy sản Thiện Chánh, xã Tam Quan Bắc</t>
  </si>
  <si>
    <t>Nâng cấp tuyến đường dọc bờ kè sông Lại Giang (đoạn từ Bồng Sơn cũ đến giáp đường ĐT.630)</t>
  </si>
  <si>
    <t>Đê kè chống xói lở bờ biển Tam Quan (giai đoạn 2)</t>
  </si>
  <si>
    <t xml:space="preserve"> Tam Quan Bắc, Tam Quan Nam</t>
  </si>
  <si>
    <t>2017-2019</t>
  </si>
  <si>
    <t>3298 ngày 12/8/2020</t>
  </si>
  <si>
    <t>108 ngày 09/5/2019</t>
  </si>
  <si>
    <t>2017-2020</t>
  </si>
  <si>
    <t>9465 ngày 30/10/2017, 9438 ngày 21/8/2019</t>
  </si>
  <si>
    <t xml:space="preserve">11418 ngày 30/10/2019 </t>
  </si>
  <si>
    <t>6147 ngày 26/7/2018</t>
  </si>
  <si>
    <t>521 ngày 23/6/2020</t>
  </si>
  <si>
    <t>519 ngày 23/6/2020</t>
  </si>
  <si>
    <t>2008-2017</t>
  </si>
  <si>
    <t>2058 ngày 30/9/2008</t>
  </si>
  <si>
    <t>2013 - 2015</t>
  </si>
  <si>
    <t>1732 ngày 11/4/2016</t>
  </si>
  <si>
    <t>281 ngày 08/9/2020</t>
  </si>
  <si>
    <t>2015 - 2019</t>
  </si>
  <si>
    <t>3020 ngày 21/8/2017</t>
  </si>
  <si>
    <t>Kè bảo vệ khu dân cư dọc sông Hoài Hải đoạn từ thôn Kim Giao Nam đến thôn Kim Giao Bắc (giai đoạn 1)</t>
  </si>
  <si>
    <t>xã Hoài Hải</t>
  </si>
  <si>
    <t>Tràn phân lũ Ao Quyền, xã Hoài Phú</t>
  </si>
  <si>
    <t>Bờ suối hạ lưu cầu Chín Kiểm</t>
  </si>
  <si>
    <t xml:space="preserve"> Hoài Phú</t>
  </si>
  <si>
    <t>Cầu Dũng</t>
  </si>
  <si>
    <t>7765 ngày 28/8/2017</t>
  </si>
  <si>
    <t>121 ngày 15/5/2019</t>
  </si>
  <si>
    <t>1827 ngày 21/7/2020</t>
  </si>
  <si>
    <t>1268 ngày 15/7/2020</t>
  </si>
  <si>
    <t>Kè ngăn lũ khu dân cư Phú An, Hoài Hương (giai đoạn 2)</t>
  </si>
  <si>
    <t>Kè chống sạt lở bờ sông, đoạn từ thôn Mỹ Thọ tiếp giáp thôn Khánh Trạch xã Hoài Mỹ</t>
  </si>
  <si>
    <t xml:space="preserve"> Hoài Mỹ</t>
  </si>
  <si>
    <t>Tuyến dường dọc kênh Lại Giang (đoạn từ nhà thờ Tin Lành đến cầu số 4), hạng mục: Xi phông thoát nước và thảm bê tông nhựa</t>
  </si>
  <si>
    <t>Khu tái định cư vùng thiên tai Bàu Rong, thị trấn Bồng Sơn</t>
  </si>
  <si>
    <t>Di tích lịch sử địa điểm lưu niệm cuộc biểu tình năm 1931 tại cây số 7 Tài Lương, xã Hoài Thanh Tây</t>
  </si>
  <si>
    <t>Kè chống sạt lở bờ Nam sông Lại Giang (đoạn từ cầu cũ đến Cầu Phao)</t>
  </si>
  <si>
    <t>Quảng trường huyện Hoài Nhơn</t>
  </si>
  <si>
    <t>Sửa chữa nâng cấp Đập Bàu Sấm, xã Hoài Sơn</t>
  </si>
  <si>
    <t>ĐTXD Nâng cấp "Nhà Bia căm thù" trên cơ sở chứng tích "Bia căm thù" hiện có thuộc di tích vụ thảm sát tại nhà thờ Thác Đá hạ thuộc xã Hoài Đức, huyện Hoài Nhơn</t>
  </si>
  <si>
    <t>Khắc phục đê kè chống xói lở bờ biển Tam Quan</t>
  </si>
  <si>
    <t>Đường Đê Bao đến đường Nguyễn Trân (đường giữa Huyện ủy và KBNN Hoài Nhơn)</t>
  </si>
  <si>
    <t>Hạ tầng kỹ thuật cụm CN Bồng Sơn (giai đoạn 2), hạng mục: Xây dựng tuyến đường số 2, mặt đường tuyến số 3</t>
  </si>
  <si>
    <t>Tuyến đường Bồng Sơn - Hoài Xuân - Hoài Hương (giai đoạn 1)</t>
  </si>
  <si>
    <t>Bồng Sơn, Hoài Xuân, Hoài Hương</t>
  </si>
  <si>
    <t>Ni đường Tài Lương (xã Hoài Thanh Tây ) - Ca Công (xã Hoài Hương)</t>
  </si>
  <si>
    <t>Hoài Nhơn</t>
  </si>
  <si>
    <t>San lấp mặt bằng mở rộng Nhà lưu niệm chi bộ Cửu Lợi, huyện Hoài Nhơn</t>
  </si>
  <si>
    <t>Nâng cấp, mở rộng tuyến đường ĐT 639 (đoạn từ cầu Thiện Chánh đến QL 1 cũ), Hạng mục: Bồi thường, GPMB</t>
  </si>
  <si>
    <t>Hạng mục: Di dời tuyến ống cấp nước</t>
  </si>
  <si>
    <t>Hạng mục: Di dời hệ thống điện</t>
  </si>
  <si>
    <t>Nâng cấp, cải tạo nút giao thông Hai Bà Trưng, Trần Hưng Đạo</t>
  </si>
  <si>
    <t>Sửa chữa, nâng cấp, thảm tăng cường mặt đường các tuyến đường tỉnh (ĐT) và một số tuyến đường kết nối Quốc lộ 1, Hạng mục: Di dời hệ thống điện và cấp nước sinh hoạt</t>
  </si>
  <si>
    <t xml:space="preserve"> Hoài Nhơn</t>
  </si>
  <si>
    <t>Khắc phục khẩn cấp Kè chống sạt lở thôn Công Lương, Hoài Mỹ</t>
  </si>
  <si>
    <t>ĐTXD hạ tầng kỹ thuật CCN Hoài Châu, hạng mục: Xây dựng hoàn trả các tuyến kênh mương bê tông do GPMB xây dựng Cụm công nghiệp Hoài Châu</t>
  </si>
  <si>
    <t>Khu dân cư thôn Ngọc An Trung, xã Hoài Thanh Tây</t>
  </si>
  <si>
    <t>Khu dân cư xã Hoài Thanh Tây (đợt 1 - thôn Tài Lương 4)</t>
  </si>
  <si>
    <t>Khu dân cư Khối 8, thị trấn Tam Quan</t>
  </si>
  <si>
    <t>Khu dân cư thôn Hội An, xã Hoài Châu</t>
  </si>
  <si>
    <t>Khu dân cư xã Hoài Đức (thôn Lại Khánh và Lại Đức)</t>
  </si>
  <si>
    <t>Khu dân cư phường Hoài Tân (khu phố Đệ Đức 1 và Đệ Đức 2)</t>
  </si>
  <si>
    <t xml:space="preserve"> Hoài Tân</t>
  </si>
  <si>
    <t>Khu dân cư xã Hoài Hải (thôn Diêu Quang)</t>
  </si>
  <si>
    <t>Khu dân cư phường Tam Quan Nam (khu phố Cửu Lợi Đông và Cửa Lợi Bắc)</t>
  </si>
  <si>
    <t xml:space="preserve"> Tam Quan Nam</t>
  </si>
  <si>
    <t>Khu dân cư xã Hoài Sơn (thôn Hy Văn)</t>
  </si>
  <si>
    <t>Khu dân cư xã Hoài Châu Bắc (thôn Chương Hoà và Gia An)</t>
  </si>
  <si>
    <t>Khu dân xư xã Hoài Xuân (Thôn Thái Lai)</t>
  </si>
  <si>
    <t>Khu dân cư phường Hoài Thanh  (khu phố Mỹ An 1)</t>
  </si>
  <si>
    <t xml:space="preserve">155 ngày 21/8/2017, 2401 ngày 16/7/2019 </t>
  </si>
  <si>
    <t>2992 ngày 26/8/2019</t>
  </si>
  <si>
    <t>2013-2020</t>
  </si>
  <si>
    <t>3002 ngày 26/8/2019</t>
  </si>
  <si>
    <t>2015-2020</t>
  </si>
  <si>
    <t>2544 ngày 18/7/2017</t>
  </si>
  <si>
    <t>4022 ngày 27/10/2017, 3320 ngày 13/8/2020</t>
  </si>
  <si>
    <t>3631 ngày 30/10/2014, 8529 ngày 02/8/2019</t>
  </si>
  <si>
    <t>4138 ngày 23/1/12018, 2462 ngày 22/6/2020</t>
  </si>
  <si>
    <t>255 ngày 30/10/2018</t>
  </si>
  <si>
    <t>267 ngày 30/10/2018</t>
  </si>
  <si>
    <t>3555 ngày 26/9/2017</t>
  </si>
  <si>
    <t>2014 -2020</t>
  </si>
  <si>
    <t>590 ngày 26/6/2020</t>
  </si>
  <si>
    <t>3809 ngày 6/6/2018, 3893 ngày 12/4/2019</t>
  </si>
  <si>
    <t>7202 ngày 20/8/2018, 13595A ngày 25/12/2019</t>
  </si>
  <si>
    <t>12543 ngày 28/11/2019</t>
  </si>
  <si>
    <t>13703 ngày 30/12/2019, 5241 ngày 14/9/2020</t>
  </si>
  <si>
    <t>13724 ngày 31/12/2019;1357 ngày 19/3/2020</t>
  </si>
  <si>
    <t xml:space="preserve">9003 ngày 09/10/2017 </t>
  </si>
  <si>
    <t>1142 ngày 13/7/2020, 6164 ngày 01/10/2020</t>
  </si>
  <si>
    <t>3930 ngày 28/8/2020</t>
  </si>
  <si>
    <t>2706 ngày 23/7/2020</t>
  </si>
  <si>
    <t>13399 ngày 20/12/2019</t>
  </si>
  <si>
    <t>3180 ngày 28/3/2019, 12253 ngày 18/11/2019</t>
  </si>
  <si>
    <t>9831 ngày 10/9/2019</t>
  </si>
  <si>
    <t>2020-2021</t>
  </si>
  <si>
    <t>2414 ngày 17/4/2020</t>
  </si>
  <si>
    <t xml:space="preserve">476 ngày 12/02/2020 </t>
  </si>
  <si>
    <t>2744 ngày 28/7/2020, 4493 ngày 01/9/2020</t>
  </si>
  <si>
    <t>97 ngày 08/6/2020</t>
  </si>
  <si>
    <t>4492 ngày 01/9/2020</t>
  </si>
  <si>
    <t>3330 ngày 06/8/2020</t>
  </si>
  <si>
    <t>6289 ngày 07/10/2020</t>
  </si>
  <si>
    <t>13565 ngày 25/12/2019</t>
  </si>
  <si>
    <t>3327 ngày 06/8/2020</t>
  </si>
  <si>
    <t>Kè ngăn lũ khu dân cư dọc sông Lại Giang đoạn thôn Nhuận An Đông, xã Hoài Hương (giai đoạn 1)</t>
  </si>
  <si>
    <t>Hệ thống kênh mương 3 bàu Thiện Đức, Hoài Hương</t>
  </si>
  <si>
    <t>Kè chống sạt lở sông Xưởng</t>
  </si>
  <si>
    <t>4064 ngày 30/10/2017, 9183 ngày 28/11/2018</t>
  </si>
  <si>
    <t>2013-2019</t>
  </si>
  <si>
    <t>13054 ngày 11/12/2019</t>
  </si>
  <si>
    <t>2018-2021</t>
  </si>
  <si>
    <t>3810 ngày 13/10/2017;  3588 ngày 31/8/2020</t>
  </si>
  <si>
    <t>Nâng cấp, mở rộng tuyến đường số 2 (đoạn kết nối đường ĐT.638 với đường ĐT.639), huyện Hoài Nhơn</t>
  </si>
  <si>
    <t>Đường kết nối giữa Quốc lộ 1 cũ và Quốc lộ 1 mới tại Km1145+540 trên địa bàn thị trấn Bồng Sơn</t>
  </si>
  <si>
    <t>Kè từ Kho Dầu đến cồn ông Phong, hạng mục: Bổ sung đoạn kè dài khoảng 1.300m</t>
  </si>
  <si>
    <t>Tam Quan Bắc, Tam Quan Nam và Tam Quan</t>
  </si>
  <si>
    <t>Hạ tầng kỹ thuật tuyến đường Quốc lộ 1 cũ, thị trấn Bồng Sơn</t>
  </si>
  <si>
    <t>Tuyến đường từ Quốc Lộ 1A cũ đến Gò Dài và khu dân cư dọc tuyến, xã Tam Quan Bắc, huyện Hoài Nhơn</t>
  </si>
  <si>
    <t>Trung tâm văn hóa thể thao huyện Hoài Nhơn</t>
  </si>
  <si>
    <t>Tuyến đường liên xã Hoài Tân từ Quốc lộ 1 đến xã Hoài Xuân, huyện Hoài Nhơn</t>
  </si>
  <si>
    <t>Đường từ Quốc lộ 1A đến Khu di tích danh nhân văn hóa Đào Duy Từ (cấp Quốc gia). Hạng mục bổ sung: Đoạn kết nối đường ĐT.638</t>
  </si>
  <si>
    <t>Kè chống sạt lở bờ sông Lại Giang, thôn Vĩnh Phụng 2, xã Hoài Xuân</t>
  </si>
  <si>
    <t>Kè chống xói lở và hệ thống ngăn mặn thôn Trường Xuân Tây, xã Tam Quan Bắc, huyện Hoài Nhơn</t>
  </si>
  <si>
    <t>Hỗ trợ đầu tư xây dựng tuyến đường thay thế tuyến đường Trần Phú, thị trấn Tam Quan, huyện Hoài Nhơn, tỉnh Bình Định</t>
  </si>
  <si>
    <t>Tuyến đường hồ Cây Khế đi lên di tích lịch sử Trạm Phẩu, xã Hoài Mỹ, huyện Hoài Nhơn</t>
  </si>
  <si>
    <t>Nâng cấp,mở rộng tuyến đường kết nối Quốc lộ 1 (tuyến Tài Lương - Ca Công và tuyến Bình Chương - Hoài Mỹ) huyện Hoài Nhơn</t>
  </si>
  <si>
    <t>Kè cấp bách chống sạt lở bảo vệ khu dân cư trên sông Lại Giang (giai đoạn 1)</t>
  </si>
  <si>
    <t>Hoàn thiện mặt đường số 8</t>
  </si>
  <si>
    <t>Đường trục chính CCN Bồng Sơn (đường số 4 vào cụm công nghiệp Bồng Sơn giai đoạn 2), hạng mục bổ sung: Mặt đường bê tông xi măng, tường chắn đất</t>
  </si>
  <si>
    <t>Mở rộng tuyến đường ĐH09B Phụng Du - Túy Sơn</t>
  </si>
  <si>
    <t>Tuyến đường từ cầu Thiện Chánh đến Gò Dài, xã Tam Quan Bắc</t>
  </si>
  <si>
    <t>Đường trục chính Cụm công nghiệp Ngọc Sơn - Hoài Thanh Tây</t>
  </si>
  <si>
    <t>Cảng cá tổng hợp (Khu E)</t>
  </si>
  <si>
    <t>ĐTXD HTKT Khu hành chính - dịch vụ và dân cư tuyến đường Bạch Đằng (giai đoạn 1-kỳ 2)</t>
  </si>
  <si>
    <t>ĐTXD HTKT Khu Hành chính dịch vụ và dân cư tuyến đường Bạch Đằng (giai đoạn 2)</t>
  </si>
  <si>
    <t>Nâng cấp cải tạo tuyến đường Hai Bà Trưng, thị trấn Bồng Sơn (đoạn từ đường Trần Hưng Đạo đến kênh Lại Giang)</t>
  </si>
  <si>
    <t>Tuyến đường Thành Sơn Tây - Tuy An (hồ Suối Mới)</t>
  </si>
  <si>
    <t>Hoài Châu, Hoài Châu Bắc</t>
  </si>
  <si>
    <t>Khu dân cư xã Hoài Châu (thôn Tân Trung)</t>
  </si>
  <si>
    <t xml:space="preserve"> Hoài Châu</t>
  </si>
  <si>
    <t>Khu dân cư xã Hoài Phú (thôn Cự Tài 1 và Lương Thọ 2)</t>
  </si>
  <si>
    <t>Khu dân cư Tây Bắc chợ Bồng Sơn, thị trấn Bồng Sơn, huyện Hoài Nhơn (giai đoạn 2)</t>
  </si>
  <si>
    <t>Kinh phí đầu tư xây dựng doanh trại mới cho Ban CHQS thị xã Hoài Nhơn (KP GPMB)</t>
  </si>
  <si>
    <t>4040 ngày 31/10/2019</t>
  </si>
  <si>
    <t>4907 ngày 27/12/2019</t>
  </si>
  <si>
    <t>4842 ngày 28/12/2018
2948 ngày 22/8/2019</t>
  </si>
  <si>
    <t>3230 ngày 21/9/2019, 2117 ngày 01/6/2020</t>
  </si>
  <si>
    <t>2016-2020</t>
  </si>
  <si>
    <t>1825 ngày 25/5/2017, 4317 ngày 07/12/2018</t>
  </si>
  <si>
    <t>3216 ngày 09/9/2019, 1397 ngày 15/4/2020, 2042 ngày 27/5/2020</t>
  </si>
  <si>
    <t>2796 ngày 12/8/2019, 3459 ngày 24/8/2020</t>
  </si>
  <si>
    <t>2014-2019</t>
  </si>
  <si>
    <t>3598 ngày 07/10/2019 434 ngày 13/11/2019</t>
  </si>
  <si>
    <t>3786 ngày 30/10/2018</t>
  </si>
  <si>
    <t>1942 ngày 10/6/2019</t>
  </si>
  <si>
    <t>2019-2023</t>
  </si>
  <si>
    <t>1158 ngày 31/3/2020, 3142 ngày 03/8/2020</t>
  </si>
  <si>
    <t>187 ngày 07/8/2020</t>
  </si>
  <si>
    <t>3990 ngày 28/9/2020</t>
  </si>
  <si>
    <t>3958 ngày 24/9/2020</t>
  </si>
  <si>
    <t>2016 - 2020</t>
  </si>
  <si>
    <t>7555 ngày 31/10/2016</t>
  </si>
  <si>
    <t>13168 ngày 13/12/2019</t>
  </si>
  <si>
    <t>5083 ngày 22/5/2019</t>
  </si>
  <si>
    <t>11346 ngày 30/10/2019</t>
  </si>
  <si>
    <t>11296 ngày 28/10/2019</t>
  </si>
  <si>
    <t>11347 ngày 30/10/2019</t>
  </si>
  <si>
    <t>2017-2022</t>
  </si>
  <si>
    <t>10078 ngày 20/11/2017</t>
  </si>
  <si>
    <t>2018-2022</t>
  </si>
  <si>
    <t>9481 ngày 30/10/2017</t>
  </si>
  <si>
    <t>4373 ngày 31/8/2020</t>
  </si>
  <si>
    <t>5760 ngày 22/9/2020</t>
  </si>
  <si>
    <t>1145 ngày 13/7/2020</t>
  </si>
  <si>
    <t>1144 ngày 13/7/2020</t>
  </si>
  <si>
    <t>4251 ngày 28/8/2020</t>
  </si>
  <si>
    <t>Mở rộng đường từ nhà ông Đào Duy Hoàng đến đường Tây tỉnh (KP GPMB)</t>
  </si>
  <si>
    <t>Ni đường và KDC tuyến đường Thái Lợi</t>
  </si>
  <si>
    <t>Quảng trường biển thị xã Hoài Nhơn</t>
  </si>
  <si>
    <t>Nâng cấp, mở rộng Hội trường và Trụ sở làm việc HĐND - UBND thị xã Hoài Nhơn</t>
  </si>
  <si>
    <t xml:space="preserve">Lắp đặt lan can, hệ thống tưới nước tự động và các hạng mục phụ trợ Nhà bia di tích vụ thảm sát nhà thờ Thác Đá Hạ, phường Hoài Đức  </t>
  </si>
  <si>
    <t>Tan Quan, Tam Quan Nam</t>
  </si>
  <si>
    <t>Khu dân cư khu phố 2, phường Bồng Sơn</t>
  </si>
  <si>
    <t>Khu dân cư Đồng Giống (Bồng Sơn)</t>
  </si>
  <si>
    <t>Khu dân cư phường Hoài Đức (khu phố Bình Chương Nam)</t>
  </si>
  <si>
    <t>Khu dân cư phường Hoài Hảo (Khu phố Phụng Du 2)</t>
  </si>
  <si>
    <t>Khu dân cư phường Hoài Thanh (khu phố An Dinh 1 và Mỹ An 2)</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</si>
  <si>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</si>
  <si>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</si>
  <si>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</si>
  <si>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</si>
  <si>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</si>
  <si>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</si>
  <si>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</si>
  <si>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</si>
  <si>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</si>
  <si>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</si>
  <si>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</si>
  <si>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</si>
  <si>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</si>
  <si>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</si>
  <si>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</si>
  <si>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</si>
  <si>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</si>
  <si>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</si>
  <si>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</si>
  <si>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</si>
  <si>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</si>
  <si>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</si>
  <si>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</si>
  <si>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</si>
  <si>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</si>
  <si>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</si>
  <si>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</si>
  <si>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</si>
  <si>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</si>
  <si>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</si>
  <si>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</si>
  <si>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</si>
  <si>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</si>
  <si>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</si>
  <si>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</si>
  <si>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</si>
  <si>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</si>
  <si>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</si>
  <si>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</si>
  <si>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</si>
  <si>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</si>
  <si>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</si>
  <si>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</si>
  <si>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</si>
  <si>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</si>
  <si>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</si>
  <si>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</si>
  <si>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</si>
  <si>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</si>
  <si>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</si>
  <si>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</si>
  <si>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</si>
  <si>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</si>
  <si>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</si>
  <si>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</si>
  <si>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</si>
  <si>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</si>
  <si>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Phòng Quản lý đô thị đại diện chủ dầu tư</t>
  </si>
  <si>
    <t>Điện chiếu sáng tuyến đường ĐH11 Tam Quan - Tân Bình</t>
  </si>
  <si>
    <t>Lắp đặt vật tư, thiết bị vận hành khởi động và nghiệm thu hệ thống xử lý nước thải tại bãi chôn lấp chất thải rắn huyện Hoài Nhơn (giai đoạn 2)</t>
  </si>
  <si>
    <t>Hoa viên ngã ba đường Bạch Đằng, thị trấn Bồng Sơn</t>
  </si>
  <si>
    <t>Nâng cấp, mở rộng tuyến ĐH.11 (Tam Quan – Tân Bình) đoạn từ Km4+045 – Km4+634 (giáp tuyến ĐT.638)</t>
  </si>
  <si>
    <t>Sửa chữa nhà làm việc cũ của Bảo hiểm xã hội và Chi cục Thi hành án dân sự huyện Hoài Nhơn</t>
  </si>
  <si>
    <t>593 ngày 26/6/2020</t>
  </si>
  <si>
    <t>4470 ngày 03/5/2019</t>
  </si>
  <si>
    <t xml:space="preserve"> 4498 ngày 01/9/2020</t>
  </si>
  <si>
    <t xml:space="preserve"> 11422 ngày 30/10/2019</t>
  </si>
  <si>
    <t>11361 ngày 30/10/2019</t>
  </si>
  <si>
    <t>Hoa viên Nam Cầu Chui xã Hoài Đức, hạng mục bổ sung: Tuyến đường phía Tây hoa viên và lắp đặt bàng Led điện tử</t>
  </si>
  <si>
    <t>Chỉnh trang đô thị trên địa bàn huyện Hoài Nhơn</t>
  </si>
  <si>
    <t>Hoa viên tái định cư số 01 Hoài Châu Bắc</t>
  </si>
  <si>
    <t>Hoa viên tái định cư số 06,07 Hoài Đức</t>
  </si>
  <si>
    <t>Hoa viên tái định cư số 05 Hoài Tân</t>
  </si>
  <si>
    <t>Hoa viên tái định cư số 03,04 Hoài Thanh Tây</t>
  </si>
  <si>
    <t>Sơn vạch kẻ đường và lắp đặt biển báo, bảng tên đường các tuyến đường huyện</t>
  </si>
  <si>
    <t>Nạo vét hệ thống thoát nước mưa thị trấn Bồng Sơn</t>
  </si>
  <si>
    <t>Cải tạo hệ thống đèn tín hiệu giao thông và tăng cường ánh sáng khu vực đô thị Tam Quan</t>
  </si>
  <si>
    <t>Cải tạo hệ thống đèn tín hiệu giao thông và tăng cường ánh sáng khu vực đô thị Bồng Sơn</t>
  </si>
  <si>
    <t>Chỉnh trang tuyến đường kết nối giữa Quốc lộ 1 cũ và Quốc lộ 1 mới thị trấn Bồng Sơn</t>
  </si>
  <si>
    <t>Đèn hoa trang trí các khu vực công cộng (Hoa viên trước UBND huyện, ngã ba Hoài Tân, ngã ba Hoài Đức, ngã tư QL1 -ĐT639, Tam Quan Bắc)</t>
  </si>
  <si>
    <t>Hoài Tân, Tam Quan Bắc</t>
  </si>
  <si>
    <t>Điện chiếu sáng đường vào Cụm công nghiệp Hoài Tân và CCN Bồng Sơn (giai đoạn 1)</t>
  </si>
  <si>
    <t>Hoài Tân, Bồng Sơn</t>
  </si>
  <si>
    <t>Cải tạo hệ thống đèn tín hiệu giao thông ngã tư Trần Hưng Đạo -Trần Phú phường Bồng Sơn</t>
  </si>
  <si>
    <t>Lắp đặt hệ thống cáp điều khiển đèn hoa trang trí</t>
  </si>
  <si>
    <t>Trồng cây xanh khu vực đô thị Bồng Sơn</t>
  </si>
  <si>
    <t>Trồng cây xanh khu vực đô thị Hoài Thanh Tây</t>
  </si>
  <si>
    <t>Trồng cây xanh khu vực đô thị Tam Quan</t>
  </si>
  <si>
    <t>8787 ngày 31/10/2018, 13628A ngày 26/12/2019</t>
  </si>
  <si>
    <t>2019 -2020</t>
  </si>
  <si>
    <t>11427 ngày 31/10/2019, 3986 ngày 21/8/2020</t>
  </si>
  <si>
    <t>11242 ngày 25/10/2019</t>
  </si>
  <si>
    <t>12523 ngày 26/11/2019</t>
  </si>
  <si>
    <t>2019 - 2020</t>
  </si>
  <si>
    <t>11243 ngày 25/10/2019</t>
  </si>
  <si>
    <t>11244 ngày 25/10/2019</t>
  </si>
  <si>
    <t>77 ngày 05/6/2020</t>
  </si>
  <si>
    <t>4939 ngày 09/9/2020</t>
  </si>
  <si>
    <t>5104 ngày 10/9/2020</t>
  </si>
  <si>
    <t>5610 ngày 17/9/2020</t>
  </si>
  <si>
    <t>6496 ngày 09/10/2020</t>
  </si>
  <si>
    <t>5609 ngày 17/9/2020</t>
  </si>
  <si>
    <t>6498 ngày 09/10/2020</t>
  </si>
  <si>
    <t>37040 ngày 18/8/2020</t>
  </si>
  <si>
    <t>5248 ngày 14/9/2020</t>
  </si>
  <si>
    <t>773/ ngày 30/06/2020</t>
  </si>
  <si>
    <t>774 ngày 30/06/2020</t>
  </si>
  <si>
    <t xml:space="preserve"> 775 ngày 30/06/2020</t>
  </si>
  <si>
    <t>Hoa viên Đồng Đất Chai</t>
  </si>
  <si>
    <t>Đài phun nước nghệ thuật Hoa viên ngã tư Tam Quan Bắc</t>
  </si>
  <si>
    <t>Trang trí và chỉnh trang thị xã Hoài Nhơn</t>
  </si>
  <si>
    <t>Xây dựng bảng tên các tuyến đường đô thị thị xã</t>
  </si>
  <si>
    <t>Hoa viên ngã 3 Lê Lợi - Nguyễn Trân (đất ông Lê Duy Nhẫn)</t>
  </si>
  <si>
    <t>Trung tâm Văn hóa - Thông tin - thể thao đại diện chủ đầu tư</t>
  </si>
  <si>
    <t>Xây dựng mới 04 cụm Panô về nông thôn mới, di dời các trụ treo Pa nô tuyên truyền trên địa bàn huyện</t>
  </si>
  <si>
    <t>11426 ngày 31/10/2019</t>
  </si>
  <si>
    <t>Trung tâm điều hành thông minh</t>
  </si>
  <si>
    <t>Văn phòng HĐND và UBND đại diện chủ đầu tư</t>
  </si>
  <si>
    <t>Chỉnh trang hoa viên sân UBND thị xã</t>
  </si>
  <si>
    <t>Di dời và lắp đặt các trụ treo panô, treo băng rôn dọc Quốc lộ 1A và tuyến đường ĐT.639 trên địa bàn thị xã</t>
  </si>
  <si>
    <t>Xây dựng bảng Pano tuyên truyền thị xã Hoài Nhơn</t>
  </si>
  <si>
    <t>3429 ngày 07/8/2020</t>
  </si>
  <si>
    <t>5112 ngày 11/9/2020</t>
  </si>
  <si>
    <t>BQL dự án ĐTXD và PTQĐ đại diện chủ đầu tư</t>
  </si>
  <si>
    <t>D</t>
  </si>
  <si>
    <t>Nâng cấp, sửa chữa nhà thi đấu đa năng</t>
  </si>
  <si>
    <t>9431a ngày 27/10/2017
5621 ngày 11/6/2019</t>
  </si>
  <si>
    <t>E</t>
  </si>
  <si>
    <t>F</t>
  </si>
  <si>
    <t>Chi hoạt động của các cơ quan QLNN địa phương, Đảng, Đoàn thể</t>
  </si>
  <si>
    <t>Trung tâm Bồi dưỡng chính trị thị xã (tại vị trí mới)</t>
  </si>
  <si>
    <t>G</t>
  </si>
  <si>
    <t>Chi đảm bảo xã hội</t>
  </si>
  <si>
    <t>CHI NGÂN SÁCH THỊ XÃ THEO LĨNH VỰC</t>
  </si>
  <si>
    <t>CHI BỔ SUNG CÂN ĐỐI CHO NGÂN SÁCH XÃ, PHƯỜNG</t>
  </si>
  <si>
    <t>DỰ TOÁN CHI ĐẦU TƯ PHÁT TRIỂN CỦA NGÂN SÁCH THỊ XÃ CHO TỪNG CƠ QUAN, TỔ CHỨC THEO LĨNH VỰC NĂM 2021</t>
  </si>
  <si>
    <t>DỰ TOÁN CHI THƯỜNG XUYÊN CỦA NGÂN SÁCH THỊ XÃ CHO TỪNG CƠ QUAN, TỔ CHỨC THEO LĨNH VỰC NĂM 2021</t>
  </si>
  <si>
    <t>DỰ TOÁN THU, SỐ BỔ SUNG VÀ DỰ TOÁN CHI CÂN ĐỐI NGÂN SÁCH TỪNG XÃ, PHƯỜNG NĂM 2021</t>
  </si>
  <si>
    <t>Thu ngân sách xã, phường hưởng 100%</t>
  </si>
  <si>
    <t>Số bổ sung cân đối từ ngân sách thị xã</t>
  </si>
  <si>
    <t>Thu ngân sách xã, phường được hưởng theo phân cấp</t>
  </si>
  <si>
    <t>Tổng chi cân đối ngân sách xã, phường</t>
  </si>
  <si>
    <t>DỰ TOÁN CHI BỔ SUNG CÓ MỤC TIÊU TỪ NGÂN SÁCH THỊ XÃ CHO NGÂN SÁCH TỪNG XÃ, PHƯỜNG NĂM 2021</t>
  </si>
  <si>
    <t>Giá trị khối lượng thực hiện từ khởi công đến 31/12/2020 sau khi điều chỉnh</t>
  </si>
  <si>
    <t>Ghi chú</t>
  </si>
  <si>
    <t>PHỤ LỤC</t>
  </si>
  <si>
    <t>(Kèm theo Quyết định số            /QĐ-UBND ngày        tháng        năm 2020 của Chủ tịch UBND thị xã</t>
  </si>
  <si>
    <t>Giá trị khối lượng thực hiện từ khởi công đến 31/12/2020 được công bố công khai theo Quyết định số 17/QĐ-UBND ngày 05/01/2021 của Chủ tịch UBND thị xã</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</si>
</sst>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_ ;\-#,##0\ "/>
  </numFmts>
  <fonts count="95">
    <font>
      <sz val="11"/>
      <color theme="1"/>
      <name val="Calibri"/>
      <family val="2"/>
    </font>
    <font>
      <sz val="11"/>
      <color indexed="8"/>
      <name val="Calibri"/>
      <family val="2"/>
    </font>
    <font>
      <b/>
      <sz val="10"/>
      <color indexed="8"/>
      <name val="Cambria"/>
      <family val="1"/>
    </font>
    <font>
      <sz val="11"/>
      <color indexed="8"/>
      <name val="Cambria"/>
      <family val="1"/>
    </font>
    <font>
      <i/>
      <sz val="10"/>
      <color indexed="8"/>
      <name val="Cambria"/>
      <family val="1"/>
    </font>
    <font>
      <i/>
      <sz val="11"/>
      <color indexed="8"/>
      <name val="Cambria"/>
      <family val="1"/>
    </font>
    <font>
      <b/>
      <sz val="10"/>
      <name val="Cambria"/>
      <family val="1"/>
    </font>
    <font>
      <sz val="10"/>
      <name val="Cambria"/>
      <family val="1"/>
    </font>
    <font>
      <b/>
      <sz val="14"/>
      <color indexed="8"/>
      <name val="Cambria"/>
      <family val="1"/>
    </font>
    <font>
      <b/>
      <sz val="12"/>
      <color indexed="8"/>
      <name val="Cambria"/>
      <family val="1"/>
    </font>
    <font>
      <sz val="10"/>
      <color indexed="8"/>
      <name val="Times New Roman"/>
      <family val="1"/>
    </font>
    <font>
      <i/>
      <sz val="10"/>
      <color indexed="8"/>
      <name val="Times New Roman"/>
      <family val="1"/>
    </font>
    <font>
      <i/>
      <sz val="10"/>
      <name val="Cambria"/>
      <family val="1"/>
    </font>
    <font>
      <sz val="10"/>
      <color indexed="8"/>
      <name val="Cambria"/>
      <family val="1"/>
    </font>
    <font>
      <sz val="12"/>
      <name val="VNI-Times"/>
      <family val="0"/>
    </font>
    <font>
      <sz val="10"/>
      <name val="Times New Roman"/>
      <family val="1"/>
    </font>
    <font>
      <sz val="10"/>
      <name val="Arial"/>
      <family val="2"/>
    </font>
    <font>
      <b/>
      <sz val="10"/>
      <name val="Times New Roman"/>
      <family val="1"/>
    </font>
    <font>
      <i/>
      <sz val="10"/>
      <name val="Times New Roman"/>
      <family val="1"/>
    </font>
    <font>
      <b/>
      <i/>
      <u val="single"/>
      <sz val="10"/>
      <name val="Cambria"/>
      <family val="1"/>
    </font>
    <font>
      <sz val="11"/>
      <color indexed="8"/>
      <name val="Times New Roman"/>
      <family val="1"/>
    </font>
    <font>
      <b/>
      <sz val="10"/>
      <color indexed="8"/>
      <name val="Times New Roman"/>
      <family val="1"/>
    </font>
    <font>
      <b/>
      <i/>
      <sz val="10"/>
      <name val="Times New Roman"/>
      <family val="1"/>
    </font>
    <font>
      <b/>
      <sz val="12"/>
      <color indexed="8"/>
      <name val="Times New Roman"/>
      <family val="1"/>
    </font>
    <font>
      <i/>
      <sz val="11"/>
      <color indexed="8"/>
      <name val="Times New Roman"/>
      <family val="1"/>
    </font>
    <font>
      <i/>
      <sz val="11"/>
      <name val="Times New Roman"/>
      <family val="1"/>
    </font>
    <font>
      <b/>
      <sz val="10"/>
      <color indexed="56"/>
      <name val="Cambria"/>
      <family val="1"/>
    </font>
    <font>
      <sz val="10"/>
      <color indexed="56"/>
      <name val="Times New Roman"/>
      <family val="1"/>
    </font>
    <font>
      <sz val="11"/>
      <color indexed="56"/>
      <name val="Cambria"/>
      <family val="1"/>
    </font>
    <font>
      <sz val="10"/>
      <color indexed="10"/>
      <name val="Times New Roman"/>
      <family val="1"/>
    </font>
    <font>
      <sz val="10"/>
      <color indexed="10"/>
      <name val="Cambria"/>
      <family val="1"/>
    </font>
    <font>
      <sz val="11"/>
      <color indexed="10"/>
      <name val="Cambria"/>
      <family val="1"/>
    </font>
    <font>
      <b/>
      <sz val="11"/>
      <color indexed="8"/>
      <name val="Times New Roman"/>
      <family val="1"/>
    </font>
    <font>
      <sz val="11"/>
      <name val="Times New Roman"/>
      <family val="1"/>
    </font>
    <font>
      <b/>
      <sz val="14"/>
      <color indexed="8"/>
      <name val="Times New Roman"/>
      <family val="1"/>
    </font>
    <font>
      <i/>
      <sz val="12"/>
      <color indexed="8"/>
      <name val="Times New Roman"/>
      <family val="1"/>
    </font>
    <font>
      <sz val="10"/>
      <color indexed="56"/>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i/>
      <sz val="10"/>
      <color rgb="FF000000"/>
      <name val="Cambria"/>
      <family val="1"/>
    </font>
    <font>
      <b/>
      <sz val="10"/>
      <color rgb="FF000000"/>
      <name val="Cambria"/>
      <family val="1"/>
    </font>
    <font>
      <i/>
      <sz val="11"/>
      <color theme="1"/>
      <name val="Cambria"/>
      <family val="1"/>
    </font>
    <font>
      <sz val="10"/>
      <color rgb="FF000000"/>
      <name val="Cambria"/>
      <family val="1"/>
    </font>
    <font>
      <sz val="11"/>
      <color theme="1"/>
      <name val="Times New Roman"/>
      <family val="1"/>
    </font>
    <font>
      <sz val="10"/>
      <color theme="1"/>
      <name val="Times New Roman"/>
      <family val="1"/>
    </font>
    <font>
      <sz val="10"/>
      <color rgb="FF000000"/>
      <name val="Times New Roman"/>
      <family val="1"/>
    </font>
    <font>
      <i/>
      <sz val="10"/>
      <color rgb="FF000000"/>
      <name val="Times New Roman"/>
      <family val="1"/>
    </font>
    <font>
      <i/>
      <sz val="10"/>
      <color theme="1"/>
      <name val="Times New Roman"/>
      <family val="1"/>
    </font>
    <font>
      <i/>
      <sz val="11"/>
      <color theme="1"/>
      <name val="Times New Roman"/>
      <family val="1"/>
    </font>
    <font>
      <b/>
      <sz val="10"/>
      <color rgb="FF000000"/>
      <name val="Times New Roman"/>
      <family val="1"/>
    </font>
    <font>
      <b/>
      <sz val="10"/>
      <color rgb="FF002060"/>
      <name val="Cambria"/>
      <family val="1"/>
    </font>
    <font>
      <sz val="11"/>
      <color rgb="FF002060"/>
      <name val="Cambria"/>
      <family val="1"/>
    </font>
    <font>
      <sz val="10"/>
      <color rgb="FFFF0000"/>
      <name val="Times New Roman"/>
      <family val="1"/>
    </font>
    <font>
      <sz val="10"/>
      <color rgb="FFFF0000"/>
      <name val="Cambria"/>
      <family val="1"/>
    </font>
    <font>
      <sz val="11"/>
      <color rgb="FFFF0000"/>
      <name val="Cambria"/>
      <family val="1"/>
    </font>
    <font>
      <sz val="10"/>
      <color rgb="FF002060"/>
      <name val="Times New Roman"/>
      <family val="1"/>
    </font>
    <font>
      <b/>
      <sz val="11"/>
      <color rgb="FF000000"/>
      <name val="Times New Roman"/>
      <family val="1"/>
    </font>
    <font>
      <sz val="11"/>
      <color rgb="FF000000"/>
      <name val="Times New Roman"/>
      <family val="1"/>
    </font>
    <font>
      <sz val="10"/>
      <color rgb="FF002060"/>
      <name val="Cambria"/>
      <family val="1"/>
    </font>
    <font>
      <b/>
      <sz val="14"/>
      <color rgb="FF000000"/>
      <name val="Cambria"/>
      <family val="1"/>
    </font>
    <font>
      <b/>
      <sz val="12"/>
      <color rgb="FF000000"/>
      <name val="Cambria"/>
      <family val="1"/>
    </font>
    <font>
      <b/>
      <sz val="12"/>
      <color rgb="FF000000"/>
      <name val="Times New Roman"/>
      <family val="1"/>
    </font>
    <font>
      <b/>
      <sz val="14"/>
      <color rgb="FF000000"/>
      <name val="Times New Roman"/>
      <family val="1"/>
    </font>
    <font>
      <i/>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style="thin">
        <color rgb="FF000000"/>
      </left>
      <right style="thin">
        <color rgb="FF000000"/>
      </right>
      <top/>
      <bottom style="hair">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hair">
        <color rgb="FF000000"/>
      </top>
      <bottom/>
    </border>
    <border>
      <left style="thin">
        <color rgb="FF000000"/>
      </left>
      <right style="thin">
        <color rgb="FF000000"/>
      </right>
      <top style="thin">
        <color rgb="FF000000"/>
      </top>
      <bottom style="hair">
        <color rgb="FF000000"/>
      </bottom>
    </border>
    <border>
      <left style="medium">
        <color rgb="FF000000"/>
      </left>
      <right/>
      <top/>
      <bottom style="medium">
        <color rgb="FF000000"/>
      </bottom>
    </border>
    <border>
      <left style="medium">
        <color rgb="FF000000"/>
      </left>
      <right style="medium">
        <color rgb="FF000000"/>
      </right>
      <top/>
      <bottom style="medium">
        <color rgb="FF000000"/>
      </bottom>
    </border>
    <border>
      <left style="thin"/>
      <right style="thin"/>
      <top style="hair"/>
      <bottom style="hair"/>
    </border>
    <border>
      <left style="thin"/>
      <right style="thin"/>
      <top style="hair"/>
      <bottom/>
    </border>
    <border>
      <left/>
      <right/>
      <top/>
      <bottom style="thin">
        <color rgb="FF000000"/>
      </bottom>
    </border>
    <border>
      <left style="thin">
        <color rgb="FF000000"/>
      </left>
      <right style="thin">
        <color rgb="FF000000"/>
      </right>
      <top/>
      <bottom style="thin">
        <color rgb="FF000000"/>
      </bottom>
    </border>
    <border>
      <left style="thin"/>
      <right style="thin"/>
      <top/>
      <bottom style="hair"/>
    </border>
    <border>
      <left style="thin"/>
      <right style="thin"/>
      <top style="hair"/>
      <bottom style="thin"/>
    </border>
    <border>
      <left style="thin"/>
      <right style="thin"/>
      <top style="hair">
        <color rgb="FF000000"/>
      </top>
      <bottom style="thin"/>
    </border>
    <border>
      <left style="thin"/>
      <right style="thin">
        <color rgb="FF000000"/>
      </right>
      <top style="hair">
        <color rgb="FF000000"/>
      </top>
      <bottom style="thin"/>
    </border>
    <border>
      <left style="thin">
        <color rgb="FF000000"/>
      </left>
      <right style="thin">
        <color rgb="FF000000"/>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28" borderId="2"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16" fillId="0" borderId="0">
      <alignment/>
      <protection/>
    </xf>
    <xf numFmtId="0" fontId="16" fillId="0" borderId="0">
      <alignment/>
      <protection/>
    </xf>
    <xf numFmtId="0" fontId="14"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74">
    <xf numFmtId="0" fontId="0" fillId="0" borderId="0" xfId="0" applyFont="1" applyAlignment="1">
      <alignment/>
    </xf>
    <xf numFmtId="0" fontId="69" fillId="0" borderId="0" xfId="0" applyFont="1" applyAlignment="1">
      <alignment/>
    </xf>
    <xf numFmtId="0" fontId="70" fillId="0" borderId="0" xfId="0" applyFont="1" applyAlignment="1">
      <alignment horizontal="center"/>
    </xf>
    <xf numFmtId="0" fontId="70" fillId="0" borderId="0" xfId="0" applyFont="1" applyAlignment="1">
      <alignment/>
    </xf>
    <xf numFmtId="0" fontId="70" fillId="0" borderId="0" xfId="0" applyFont="1" applyAlignment="1">
      <alignment horizontal="center"/>
    </xf>
    <xf numFmtId="0" fontId="6"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center" vertical="top" wrapText="1"/>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7" fillId="0" borderId="10" xfId="0" applyFont="1" applyBorder="1" applyAlignment="1">
      <alignment horizontal="right" vertical="center" wrapText="1"/>
    </xf>
    <xf numFmtId="0" fontId="7" fillId="0" borderId="11" xfId="0" applyFont="1" applyBorder="1" applyAlignment="1">
      <alignment horizontal="right" vertical="center" wrapText="1"/>
    </xf>
    <xf numFmtId="0" fontId="70" fillId="0" borderId="0" xfId="0" applyFont="1" applyAlignment="1">
      <alignment horizontal="center"/>
    </xf>
    <xf numFmtId="43" fontId="7" fillId="0" borderId="10" xfId="41" applyFont="1" applyBorder="1" applyAlignment="1">
      <alignment horizontal="right" vertical="center" wrapText="1"/>
    </xf>
    <xf numFmtId="164" fontId="7" fillId="0" borderId="10" xfId="41" applyNumberFormat="1" applyFont="1" applyBorder="1" applyAlignment="1">
      <alignment horizontal="right" vertical="center" wrapText="1"/>
    </xf>
    <xf numFmtId="164" fontId="6" fillId="0" borderId="12" xfId="41" applyNumberFormat="1" applyFont="1" applyBorder="1" applyAlignment="1">
      <alignment horizontal="right" vertical="center" wrapText="1"/>
    </xf>
    <xf numFmtId="0" fontId="7" fillId="0" borderId="13" xfId="0" applyFont="1" applyBorder="1" applyAlignment="1">
      <alignment horizontal="center" vertical="top" wrapText="1"/>
    </xf>
    <xf numFmtId="0" fontId="7" fillId="0" borderId="12" xfId="0" applyFont="1" applyBorder="1" applyAlignment="1">
      <alignment horizontal="center" vertical="top" wrapText="1"/>
    </xf>
    <xf numFmtId="0" fontId="7" fillId="0" borderId="10" xfId="0" applyFont="1" applyBorder="1" applyAlignment="1">
      <alignment horizontal="center" vertical="top" wrapText="1"/>
    </xf>
    <xf numFmtId="0" fontId="7" fillId="0" borderId="11" xfId="0" applyFont="1" applyBorder="1" applyAlignment="1">
      <alignment horizontal="center" vertical="center" wrapText="1"/>
    </xf>
    <xf numFmtId="0" fontId="6" fillId="0" borderId="10" xfId="0" applyFont="1" applyBorder="1" applyAlignment="1">
      <alignment horizontal="left" vertical="center" wrapText="1"/>
    </xf>
    <xf numFmtId="0" fontId="7" fillId="0" borderId="11" xfId="0" applyFont="1" applyBorder="1" applyAlignment="1">
      <alignment horizontal="left" vertical="center" wrapText="1"/>
    </xf>
    <xf numFmtId="0" fontId="71" fillId="0" borderId="0" xfId="0" applyFont="1" applyAlignment="1">
      <alignment/>
    </xf>
    <xf numFmtId="0" fontId="7" fillId="0" borderId="12" xfId="0" applyFont="1" applyBorder="1" applyAlignment="1">
      <alignment horizontal="center" wrapText="1"/>
    </xf>
    <xf numFmtId="0" fontId="6" fillId="0" borderId="14" xfId="0" applyFont="1" applyBorder="1" applyAlignment="1">
      <alignment horizontal="center" vertical="center" wrapText="1"/>
    </xf>
    <xf numFmtId="0" fontId="7" fillId="0" borderId="13" xfId="0" applyFont="1" applyBorder="1" applyAlignment="1">
      <alignment horizontal="center" wrapText="1"/>
    </xf>
    <xf numFmtId="164" fontId="6" fillId="0" borderId="12" xfId="0" applyNumberFormat="1" applyFont="1" applyBorder="1" applyAlignment="1">
      <alignment horizontal="right" vertical="center" wrapText="1"/>
    </xf>
    <xf numFmtId="164" fontId="6" fillId="0" borderId="13" xfId="41" applyNumberFormat="1" applyFont="1" applyBorder="1" applyAlignment="1">
      <alignment horizontal="right" vertical="center" wrapText="1"/>
    </xf>
    <xf numFmtId="164" fontId="6" fillId="0" borderId="13"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1" fontId="6" fillId="0" borderId="12" xfId="0"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164" fontId="6" fillId="0" borderId="10" xfId="41" applyNumberFormat="1" applyFont="1" applyBorder="1" applyAlignment="1">
      <alignment horizontal="right" vertical="center" wrapText="1"/>
    </xf>
    <xf numFmtId="164" fontId="69" fillId="0" borderId="0" xfId="0" applyNumberFormat="1" applyFont="1" applyAlignment="1">
      <alignment/>
    </xf>
    <xf numFmtId="164" fontId="7" fillId="0" borderId="11" xfId="41" applyNumberFormat="1" applyFont="1" applyBorder="1" applyAlignment="1">
      <alignment horizontal="right" vertical="center" wrapText="1"/>
    </xf>
    <xf numFmtId="164" fontId="7" fillId="0" borderId="10" xfId="0" applyNumberFormat="1" applyFont="1" applyBorder="1" applyAlignment="1">
      <alignment horizontal="right" vertical="center" wrapText="1"/>
    </xf>
    <xf numFmtId="1" fontId="7" fillId="0" borderId="15" xfId="0" applyNumberFormat="1" applyFont="1" applyBorder="1" applyAlignment="1">
      <alignment horizontal="center" vertical="center" wrapText="1"/>
    </xf>
    <xf numFmtId="0" fontId="7" fillId="0" borderId="12" xfId="0" applyFont="1" applyBorder="1" applyAlignment="1">
      <alignment horizontal="right" vertical="center" wrapText="1"/>
    </xf>
    <xf numFmtId="0" fontId="72" fillId="0" borderId="0" xfId="0" applyFont="1" applyAlignment="1">
      <alignment/>
    </xf>
    <xf numFmtId="0" fontId="10" fillId="0" borderId="10" xfId="0" applyFont="1" applyBorder="1" applyAlignment="1">
      <alignment vertical="center" wrapText="1"/>
    </xf>
    <xf numFmtId="0" fontId="12" fillId="0" borderId="10" xfId="0" applyFont="1" applyBorder="1" applyAlignment="1">
      <alignment horizontal="center" vertical="center" wrapText="1"/>
    </xf>
    <xf numFmtId="0" fontId="11" fillId="0" borderId="10" xfId="0" applyFont="1" applyBorder="1" applyAlignment="1">
      <alignment vertical="center" wrapText="1"/>
    </xf>
    <xf numFmtId="164" fontId="12" fillId="0" borderId="10" xfId="41" applyNumberFormat="1" applyFont="1" applyBorder="1" applyAlignment="1">
      <alignment horizontal="right" vertical="center" wrapText="1"/>
    </xf>
    <xf numFmtId="165" fontId="6" fillId="0" borderId="12" xfId="41" applyNumberFormat="1" applyFont="1" applyBorder="1" applyAlignment="1">
      <alignment horizontal="center" vertical="center" wrapText="1"/>
    </xf>
    <xf numFmtId="165" fontId="7" fillId="0" borderId="10" xfId="0" applyNumberFormat="1" applyFont="1" applyBorder="1" applyAlignment="1">
      <alignment horizontal="center" vertical="center" wrapText="1"/>
    </xf>
    <xf numFmtId="0" fontId="73" fillId="0" borderId="0" xfId="0" applyFont="1" applyAlignment="1">
      <alignment/>
    </xf>
    <xf numFmtId="0" fontId="12" fillId="0" borderId="10" xfId="0" applyFont="1" applyBorder="1" applyAlignment="1">
      <alignment horizontal="left" vertical="center" wrapText="1"/>
    </xf>
    <xf numFmtId="0" fontId="71" fillId="0" borderId="0" xfId="0" applyFont="1" applyAlignment="1">
      <alignment vertical="center" wrapText="1"/>
    </xf>
    <xf numFmtId="0" fontId="6" fillId="0" borderId="13" xfId="0" applyFont="1" applyBorder="1" applyAlignment="1">
      <alignment horizontal="center" vertical="center" wrapText="1"/>
    </xf>
    <xf numFmtId="164" fontId="7" fillId="0" borderId="10" xfId="0" applyNumberFormat="1" applyFont="1" applyBorder="1" applyAlignment="1">
      <alignment horizontal="center" vertical="top" wrapText="1"/>
    </xf>
    <xf numFmtId="164" fontId="6" fillId="0" borderId="16" xfId="41" applyNumberFormat="1" applyFont="1" applyBorder="1" applyAlignment="1">
      <alignment horizontal="right" vertical="center" wrapText="1"/>
    </xf>
    <xf numFmtId="0" fontId="73" fillId="0" borderId="17" xfId="0" applyFont="1" applyBorder="1" applyAlignment="1">
      <alignment horizontal="center" wrapText="1"/>
    </xf>
    <xf numFmtId="0" fontId="73" fillId="0" borderId="18" xfId="0" applyFont="1" applyBorder="1" applyAlignment="1">
      <alignment horizontal="center" wrapText="1"/>
    </xf>
    <xf numFmtId="0" fontId="71" fillId="0" borderId="17" xfId="0" applyFont="1" applyBorder="1" applyAlignment="1">
      <alignment horizontal="center" wrapText="1"/>
    </xf>
    <xf numFmtId="0" fontId="71" fillId="0" borderId="17" xfId="0" applyFont="1" applyBorder="1" applyAlignment="1">
      <alignment wrapText="1"/>
    </xf>
    <xf numFmtId="0" fontId="71" fillId="0" borderId="18" xfId="0" applyFont="1" applyBorder="1" applyAlignment="1">
      <alignment horizontal="center" wrapText="1"/>
    </xf>
    <xf numFmtId="0" fontId="73" fillId="0" borderId="17" xfId="0" applyFont="1" applyBorder="1" applyAlignment="1">
      <alignment wrapText="1"/>
    </xf>
    <xf numFmtId="0" fontId="73" fillId="0" borderId="17" xfId="0" applyFont="1" applyBorder="1" applyAlignment="1">
      <alignment horizontal="center" vertical="top" wrapText="1"/>
    </xf>
    <xf numFmtId="0" fontId="73" fillId="0" borderId="17" xfId="0" applyFont="1" applyBorder="1" applyAlignment="1">
      <alignment vertical="top" wrapText="1"/>
    </xf>
    <xf numFmtId="0" fontId="73" fillId="0" borderId="17" xfId="0" applyFont="1" applyBorder="1" applyAlignment="1">
      <alignment horizontal="center" vertical="center" wrapText="1"/>
    </xf>
    <xf numFmtId="164" fontId="6" fillId="0" borderId="11" xfId="41" applyNumberFormat="1" applyFont="1" applyBorder="1" applyAlignment="1">
      <alignment horizontal="right" vertical="center" wrapText="1"/>
    </xf>
    <xf numFmtId="1" fontId="15" fillId="0" borderId="13" xfId="56" applyNumberFormat="1" applyFont="1" applyFill="1" applyBorder="1" applyAlignment="1">
      <alignment horizontal="center" vertical="center" wrapText="1"/>
      <protection/>
    </xf>
    <xf numFmtId="164" fontId="7" fillId="0" borderId="13" xfId="41" applyNumberFormat="1" applyFont="1" applyBorder="1" applyAlignment="1">
      <alignment horizontal="right" vertical="center" wrapText="1"/>
    </xf>
    <xf numFmtId="0" fontId="12" fillId="0" borderId="13" xfId="0" applyFont="1" applyBorder="1" applyAlignment="1">
      <alignment horizontal="center" wrapText="1"/>
    </xf>
    <xf numFmtId="164" fontId="17" fillId="0" borderId="13" xfId="41" applyNumberFormat="1" applyFont="1" applyFill="1" applyBorder="1" applyAlignment="1">
      <alignment horizontal="right" vertical="center" wrapText="1"/>
    </xf>
    <xf numFmtId="1" fontId="15" fillId="33" borderId="13" xfId="56" applyNumberFormat="1" applyFont="1" applyFill="1" applyBorder="1" applyAlignment="1">
      <alignment horizontal="center" vertical="center" wrapText="1"/>
      <protection/>
    </xf>
    <xf numFmtId="0" fontId="15" fillId="0" borderId="13" xfId="0" applyFont="1" applyFill="1" applyBorder="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165" fontId="6" fillId="0" borderId="11" xfId="41" applyNumberFormat="1" applyFont="1" applyBorder="1" applyAlignment="1">
      <alignment horizontal="center" vertical="center" wrapText="1"/>
    </xf>
    <xf numFmtId="0" fontId="74" fillId="0" borderId="0" xfId="0" applyFont="1" applyAlignment="1">
      <alignment/>
    </xf>
    <xf numFmtId="0" fontId="75" fillId="0" borderId="0" xfId="0" applyFont="1" applyAlignment="1">
      <alignment/>
    </xf>
    <xf numFmtId="0" fontId="76" fillId="0" borderId="0" xfId="0" applyFont="1" applyAlignment="1">
      <alignment/>
    </xf>
    <xf numFmtId="0" fontId="77" fillId="0" borderId="0" xfId="0" applyFont="1" applyAlignment="1">
      <alignment horizontal="center"/>
    </xf>
    <xf numFmtId="0" fontId="17" fillId="0" borderId="13" xfId="0" applyFont="1" applyBorder="1" applyAlignment="1">
      <alignment horizontal="center" vertical="center" wrapText="1"/>
    </xf>
    <xf numFmtId="0" fontId="15" fillId="0" borderId="13" xfId="0" applyFont="1" applyBorder="1" applyAlignment="1">
      <alignment horizontal="center" wrapText="1"/>
    </xf>
    <xf numFmtId="164" fontId="17" fillId="0" borderId="13" xfId="0" applyNumberFormat="1" applyFont="1" applyBorder="1" applyAlignment="1">
      <alignment horizontal="center" wrapText="1"/>
    </xf>
    <xf numFmtId="0" fontId="17" fillId="0" borderId="13" xfId="0" applyFont="1" applyBorder="1" applyAlignment="1">
      <alignment horizontal="left" vertical="center" wrapText="1"/>
    </xf>
    <xf numFmtId="0" fontId="17" fillId="0" borderId="16" xfId="0" applyFont="1" applyBorder="1" applyAlignment="1">
      <alignment horizontal="center" vertical="center" wrapText="1"/>
    </xf>
    <xf numFmtId="0" fontId="17" fillId="0" borderId="16" xfId="0" applyFont="1" applyBorder="1" applyAlignment="1">
      <alignment horizontal="left" vertical="center" wrapText="1"/>
    </xf>
    <xf numFmtId="164" fontId="17" fillId="0" borderId="16" xfId="0" applyNumberFormat="1" applyFont="1" applyBorder="1" applyAlignment="1">
      <alignment horizontal="center" wrapText="1"/>
    </xf>
    <xf numFmtId="0" fontId="17" fillId="0" borderId="16" xfId="0" applyFont="1" applyBorder="1" applyAlignment="1">
      <alignment horizontal="center" wrapText="1"/>
    </xf>
    <xf numFmtId="0" fontId="15" fillId="0" borderId="10" xfId="0" applyFont="1" applyBorder="1" applyAlignment="1">
      <alignment horizontal="center" wrapText="1"/>
    </xf>
    <xf numFmtId="0" fontId="15" fillId="0" borderId="10" xfId="0" applyFont="1" applyBorder="1" applyAlignment="1">
      <alignment wrapText="1"/>
    </xf>
    <xf numFmtId="164" fontId="15" fillId="0" borderId="10" xfId="41" applyNumberFormat="1" applyFont="1" applyBorder="1" applyAlignment="1">
      <alignment horizontal="center" wrapText="1"/>
    </xf>
    <xf numFmtId="164" fontId="15" fillId="0" borderId="10" xfId="41" applyNumberFormat="1" applyFont="1" applyBorder="1" applyAlignment="1">
      <alignment horizontal="right" wrapText="1"/>
    </xf>
    <xf numFmtId="164" fontId="15" fillId="0" borderId="10" xfId="41" applyNumberFormat="1" applyFont="1" applyBorder="1" applyAlignment="1">
      <alignment horizontal="center" vertical="top" wrapText="1"/>
    </xf>
    <xf numFmtId="164" fontId="15" fillId="0" borderId="12" xfId="41" applyNumberFormat="1" applyFont="1" applyBorder="1" applyAlignment="1">
      <alignment horizontal="center" wrapText="1"/>
    </xf>
    <xf numFmtId="164" fontId="15" fillId="0" borderId="12" xfId="41" applyNumberFormat="1" applyFont="1" applyBorder="1" applyAlignment="1">
      <alignment horizontal="right" wrapText="1"/>
    </xf>
    <xf numFmtId="0" fontId="15" fillId="0" borderId="19" xfId="57" applyFont="1" applyBorder="1">
      <alignment/>
      <protection/>
    </xf>
    <xf numFmtId="0" fontId="15" fillId="0" borderId="20" xfId="57" applyFont="1" applyBorder="1">
      <alignment/>
      <protection/>
    </xf>
    <xf numFmtId="0" fontId="15" fillId="0" borderId="15" xfId="0" applyFont="1" applyBorder="1" applyAlignment="1">
      <alignment horizontal="center" vertical="center" wrapText="1"/>
    </xf>
    <xf numFmtId="164" fontId="15" fillId="0" borderId="10" xfId="41" applyNumberFormat="1" applyFont="1" applyBorder="1" applyAlignment="1">
      <alignment horizontal="right" vertical="center" wrapText="1"/>
    </xf>
    <xf numFmtId="0" fontId="15" fillId="0" borderId="15" xfId="0" applyFont="1" applyBorder="1" applyAlignment="1">
      <alignment horizontal="center" wrapText="1"/>
    </xf>
    <xf numFmtId="0" fontId="15" fillId="0" borderId="10" xfId="57" applyFont="1" applyBorder="1">
      <alignment/>
      <protection/>
    </xf>
    <xf numFmtId="0" fontId="15" fillId="0" borderId="10" xfId="57" applyFont="1" applyBorder="1" applyAlignment="1">
      <alignment horizontal="left" vertical="center" wrapText="1"/>
      <protection/>
    </xf>
    <xf numFmtId="164" fontId="15" fillId="0" borderId="15" xfId="41" applyNumberFormat="1" applyFont="1" applyBorder="1" applyAlignment="1">
      <alignment horizontal="right" vertical="center" wrapText="1"/>
    </xf>
    <xf numFmtId="164" fontId="17" fillId="0" borderId="13" xfId="41" applyNumberFormat="1" applyFont="1" applyBorder="1" applyAlignment="1">
      <alignment horizontal="right" vertical="center" wrapText="1"/>
    </xf>
    <xf numFmtId="164" fontId="17" fillId="0" borderId="13" xfId="41" applyNumberFormat="1" applyFont="1" applyBorder="1" applyAlignment="1">
      <alignment horizontal="center" wrapText="1"/>
    </xf>
    <xf numFmtId="164" fontId="17" fillId="0" borderId="13" xfId="41" applyNumberFormat="1" applyFont="1" applyBorder="1" applyAlignment="1">
      <alignment horizontal="center" vertical="top" wrapText="1"/>
    </xf>
    <xf numFmtId="0" fontId="17" fillId="0" borderId="12" xfId="0" applyFont="1" applyBorder="1" applyAlignment="1">
      <alignment horizontal="center" wrapText="1"/>
    </xf>
    <xf numFmtId="164" fontId="17" fillId="0" borderId="12" xfId="0" applyNumberFormat="1" applyFont="1" applyBorder="1" applyAlignment="1">
      <alignment horizontal="center" wrapText="1"/>
    </xf>
    <xf numFmtId="0" fontId="17" fillId="0" borderId="12" xfId="0" applyFont="1" applyBorder="1" applyAlignment="1">
      <alignment horizontal="left" wrapText="1"/>
    </xf>
    <xf numFmtId="0" fontId="15" fillId="0" borderId="10" xfId="0" applyFont="1" applyBorder="1" applyAlignment="1">
      <alignment horizontal="center" vertical="center" wrapText="1"/>
    </xf>
    <xf numFmtId="0" fontId="15"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18" fillId="0" borderId="10" xfId="0" applyFont="1" applyBorder="1" applyAlignment="1">
      <alignment horizontal="left" vertical="center" wrapText="1"/>
    </xf>
    <xf numFmtId="164" fontId="18" fillId="0" borderId="10" xfId="41" applyNumberFormat="1" applyFont="1" applyBorder="1" applyAlignment="1">
      <alignment horizontal="right" vertical="center" wrapText="1"/>
    </xf>
    <xf numFmtId="0" fontId="78" fillId="0" borderId="0" xfId="0" applyFont="1" applyAlignment="1">
      <alignment/>
    </xf>
    <xf numFmtId="0" fontId="15" fillId="0" borderId="11" xfId="0" applyFont="1" applyBorder="1" applyAlignment="1">
      <alignment horizontal="center" vertical="center" wrapText="1"/>
    </xf>
    <xf numFmtId="0" fontId="77" fillId="0" borderId="21" xfId="0" applyFont="1" applyBorder="1" applyAlignment="1">
      <alignment/>
    </xf>
    <xf numFmtId="0" fontId="17" fillId="0" borderId="22" xfId="0" applyFont="1" applyBorder="1" applyAlignment="1">
      <alignment horizontal="center" vertical="center" wrapText="1"/>
    </xf>
    <xf numFmtId="0" fontId="17" fillId="0" borderId="13" xfId="0" applyFont="1" applyBorder="1" applyAlignment="1">
      <alignment horizontal="center" wrapText="1"/>
    </xf>
    <xf numFmtId="0" fontId="22" fillId="0" borderId="12" xfId="0" applyFont="1" applyBorder="1" applyAlignment="1">
      <alignment horizontal="center" wrapText="1"/>
    </xf>
    <xf numFmtId="0" fontId="76" fillId="0" borderId="13" xfId="0" applyFont="1" applyBorder="1" applyAlignment="1">
      <alignment horizontal="center" vertical="top" wrapText="1"/>
    </xf>
    <xf numFmtId="0" fontId="74" fillId="0" borderId="0" xfId="0" applyFont="1" applyAlignment="1">
      <alignment horizontal="center"/>
    </xf>
    <xf numFmtId="164" fontId="76" fillId="0" borderId="12" xfId="41" applyNumberFormat="1" applyFont="1" applyBorder="1" applyAlignment="1">
      <alignment horizontal="right" vertical="center" wrapText="1"/>
    </xf>
    <xf numFmtId="0" fontId="77" fillId="0" borderId="0" xfId="0" applyFont="1" applyAlignment="1">
      <alignment horizontal="center"/>
    </xf>
    <xf numFmtId="0" fontId="17" fillId="0" borderId="13"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164" fontId="17" fillId="0" borderId="12" xfId="41" applyNumberFormat="1" applyFont="1" applyBorder="1" applyAlignment="1">
      <alignment horizontal="right" vertical="center" wrapText="1"/>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164" fontId="17" fillId="0" borderId="10" xfId="41" applyNumberFormat="1" applyFont="1" applyBorder="1" applyAlignment="1">
      <alignment horizontal="right" vertical="center" wrapText="1"/>
    </xf>
    <xf numFmtId="164" fontId="15" fillId="0" borderId="10" xfId="0" applyNumberFormat="1" applyFont="1" applyBorder="1" applyAlignment="1">
      <alignment horizontal="right" vertical="center" wrapText="1"/>
    </xf>
    <xf numFmtId="43" fontId="15" fillId="0" borderId="10" xfId="41" applyFont="1" applyBorder="1" applyAlignment="1">
      <alignment horizontal="right" vertical="center" wrapText="1"/>
    </xf>
    <xf numFmtId="0" fontId="15" fillId="0" borderId="10" xfId="0" applyFont="1" applyBorder="1" applyAlignment="1">
      <alignment horizontal="right" vertical="center" wrapText="1"/>
    </xf>
    <xf numFmtId="0" fontId="79" fillId="0" borderId="0" xfId="0" applyFont="1" applyAlignment="1">
      <alignment/>
    </xf>
    <xf numFmtId="164" fontId="74" fillId="0" borderId="0" xfId="0" applyNumberFormat="1" applyFont="1" applyAlignment="1">
      <alignment/>
    </xf>
    <xf numFmtId="0" fontId="15" fillId="0" borderId="15" xfId="0" applyFont="1" applyBorder="1" applyAlignment="1">
      <alignment horizontal="left" vertical="center" wrapText="1"/>
    </xf>
    <xf numFmtId="0" fontId="17" fillId="0" borderId="11" xfId="0" applyFont="1" applyBorder="1" applyAlignment="1">
      <alignment horizontal="center" vertical="center" wrapText="1"/>
    </xf>
    <xf numFmtId="0" fontId="17" fillId="0" borderId="11" xfId="0" applyFont="1" applyBorder="1" applyAlignment="1">
      <alignment horizontal="left" vertical="center" wrapText="1"/>
    </xf>
    <xf numFmtId="0" fontId="15" fillId="0" borderId="11" xfId="0" applyFont="1" applyBorder="1" applyAlignment="1">
      <alignment horizontal="right" vertical="center" wrapText="1"/>
    </xf>
    <xf numFmtId="0" fontId="77" fillId="0" borderId="0" xfId="0" applyFont="1" applyAlignment="1">
      <alignment horizontal="center"/>
    </xf>
    <xf numFmtId="164" fontId="17" fillId="0" borderId="13" xfId="0" applyNumberFormat="1" applyFont="1" applyBorder="1" applyAlignment="1">
      <alignment horizontal="right" wrapText="1"/>
    </xf>
    <xf numFmtId="164" fontId="17" fillId="0" borderId="13" xfId="0" applyNumberFormat="1" applyFont="1" applyBorder="1" applyAlignment="1">
      <alignment horizontal="right" vertical="center" wrapText="1"/>
    </xf>
    <xf numFmtId="0" fontId="18" fillId="0" borderId="15" xfId="0" applyFont="1" applyBorder="1" applyAlignment="1">
      <alignment horizontal="center" vertical="center" wrapText="1"/>
    </xf>
    <xf numFmtId="0" fontId="18" fillId="0" borderId="10" xfId="57" applyFont="1" applyBorder="1" applyAlignment="1">
      <alignment horizontal="left" vertical="center" wrapText="1"/>
      <protection/>
    </xf>
    <xf numFmtId="0" fontId="18" fillId="0" borderId="11" xfId="0" applyFont="1" applyBorder="1" applyAlignment="1">
      <alignment horizontal="center" vertical="center" wrapText="1"/>
    </xf>
    <xf numFmtId="0" fontId="18" fillId="0" borderId="11" xfId="57" applyFont="1" applyBorder="1" applyAlignment="1">
      <alignment horizontal="left" vertical="center" wrapText="1"/>
      <protection/>
    </xf>
    <xf numFmtId="164" fontId="18" fillId="0" borderId="11" xfId="41" applyNumberFormat="1" applyFont="1" applyBorder="1" applyAlignment="1">
      <alignment horizontal="right" vertical="center" wrapText="1"/>
    </xf>
    <xf numFmtId="0" fontId="15" fillId="0" borderId="11" xfId="57" applyFont="1" applyBorder="1" applyAlignment="1">
      <alignment horizontal="left" vertical="center" wrapText="1"/>
      <protection/>
    </xf>
    <xf numFmtId="0" fontId="76" fillId="0" borderId="13" xfId="0" applyFont="1" applyBorder="1" applyAlignment="1">
      <alignment vertical="top" wrapText="1"/>
    </xf>
    <xf numFmtId="164" fontId="80" fillId="0" borderId="13" xfId="41" applyNumberFormat="1" applyFont="1" applyBorder="1" applyAlignment="1">
      <alignment horizontal="right" vertical="center" wrapText="1"/>
    </xf>
    <xf numFmtId="164" fontId="76" fillId="0" borderId="10" xfId="41" applyNumberFormat="1" applyFont="1" applyBorder="1" applyAlignment="1">
      <alignment horizontal="right" vertical="center" wrapText="1"/>
    </xf>
    <xf numFmtId="0" fontId="81" fillId="0" borderId="13" xfId="0" applyFont="1" applyBorder="1" applyAlignment="1">
      <alignment horizontal="center" vertical="center" wrapText="1"/>
    </xf>
    <xf numFmtId="0" fontId="81" fillId="0" borderId="13" xfId="0" applyFont="1" applyBorder="1" applyAlignment="1">
      <alignment horizontal="center" wrapText="1"/>
    </xf>
    <xf numFmtId="164" fontId="81" fillId="0" borderId="13" xfId="41" applyNumberFormat="1" applyFont="1" applyBorder="1" applyAlignment="1">
      <alignment horizontal="right" vertical="center" wrapText="1"/>
    </xf>
    <xf numFmtId="0" fontId="82" fillId="0" borderId="0" xfId="0" applyFont="1" applyAlignment="1">
      <alignment/>
    </xf>
    <xf numFmtId="49" fontId="15" fillId="0" borderId="19" xfId="56" applyNumberFormat="1" applyFont="1" applyFill="1" applyBorder="1" applyAlignment="1">
      <alignment horizontal="center" vertical="center"/>
      <protection/>
    </xf>
    <xf numFmtId="164" fontId="7" fillId="0" borderId="13" xfId="41" applyNumberFormat="1" applyFont="1" applyBorder="1" applyAlignment="1">
      <alignment horizontal="right" vertical="center" wrapText="1"/>
    </xf>
    <xf numFmtId="0" fontId="7" fillId="0" borderId="13" xfId="0" applyFont="1" applyBorder="1" applyAlignment="1">
      <alignment horizontal="right" vertical="center" wrapText="1"/>
    </xf>
    <xf numFmtId="0" fontId="15" fillId="0" borderId="19" xfId="0" applyFont="1" applyFill="1" applyBorder="1" applyAlignment="1">
      <alignment vertical="center" wrapText="1"/>
    </xf>
    <xf numFmtId="3" fontId="15" fillId="0" borderId="19" xfId="56" applyNumberFormat="1" applyFont="1" applyFill="1" applyBorder="1" applyAlignment="1" quotePrefix="1">
      <alignment horizontal="center" vertical="center" wrapText="1"/>
      <protection/>
    </xf>
    <xf numFmtId="1" fontId="15" fillId="0" borderId="19" xfId="56" applyNumberFormat="1" applyFont="1" applyFill="1" applyBorder="1" applyAlignment="1">
      <alignment horizontal="center" vertical="center" wrapText="1"/>
      <protection/>
    </xf>
    <xf numFmtId="0" fontId="80" fillId="0" borderId="13" xfId="0" applyFont="1" applyBorder="1" applyAlignment="1">
      <alignment horizontal="center" vertical="center" wrapText="1"/>
    </xf>
    <xf numFmtId="49" fontId="83" fillId="0" borderId="19" xfId="56" applyNumberFormat="1" applyFont="1" applyFill="1" applyBorder="1" applyAlignment="1">
      <alignment horizontal="center" vertical="center"/>
      <protection/>
    </xf>
    <xf numFmtId="0" fontId="83" fillId="0" borderId="19" xfId="0" applyFont="1" applyFill="1" applyBorder="1" applyAlignment="1">
      <alignment vertical="center" wrapText="1"/>
    </xf>
    <xf numFmtId="1" fontId="83" fillId="33" borderId="19" xfId="56" applyNumberFormat="1" applyFont="1" applyFill="1" applyBorder="1" applyAlignment="1">
      <alignment horizontal="center" vertical="center" wrapText="1"/>
      <protection/>
    </xf>
    <xf numFmtId="0" fontId="84" fillId="0" borderId="13" xfId="0" applyFont="1" applyBorder="1" applyAlignment="1">
      <alignment horizontal="center" wrapText="1"/>
    </xf>
    <xf numFmtId="1" fontId="83" fillId="0" borderId="19" xfId="56" applyNumberFormat="1" applyFont="1" applyFill="1" applyBorder="1" applyAlignment="1">
      <alignment horizontal="center" vertical="center" wrapText="1"/>
      <protection/>
    </xf>
    <xf numFmtId="3" fontId="83" fillId="0" borderId="19" xfId="56" applyNumberFormat="1" applyFont="1" applyFill="1" applyBorder="1" applyAlignment="1" quotePrefix="1">
      <alignment horizontal="center" vertical="center" wrapText="1"/>
      <protection/>
    </xf>
    <xf numFmtId="164" fontId="84" fillId="0" borderId="13" xfId="41" applyNumberFormat="1" applyFont="1" applyBorder="1" applyAlignment="1">
      <alignment horizontal="right" vertical="center" wrapText="1"/>
    </xf>
    <xf numFmtId="164" fontId="85" fillId="0" borderId="0" xfId="0" applyNumberFormat="1" applyFont="1" applyAlignment="1">
      <alignment/>
    </xf>
    <xf numFmtId="0" fontId="85" fillId="0" borderId="0" xfId="0" applyFont="1" applyAlignment="1">
      <alignment/>
    </xf>
    <xf numFmtId="164" fontId="12" fillId="0" borderId="13" xfId="41" applyNumberFormat="1" applyFont="1" applyBorder="1" applyAlignment="1">
      <alignment horizontal="right" vertical="center" wrapText="1"/>
    </xf>
    <xf numFmtId="164" fontId="6" fillId="0" borderId="13" xfId="41" applyNumberFormat="1" applyFont="1" applyBorder="1" applyAlignment="1">
      <alignment horizontal="center" vertical="center" wrapText="1"/>
    </xf>
    <xf numFmtId="0" fontId="19" fillId="0" borderId="13" xfId="0" applyFont="1" applyBorder="1" applyAlignment="1">
      <alignment horizontal="left" vertical="center" wrapText="1"/>
    </xf>
    <xf numFmtId="0" fontId="86" fillId="0" borderId="13" xfId="0" applyFont="1" applyBorder="1" applyAlignment="1">
      <alignment horizontal="left" vertical="center" wrapText="1"/>
    </xf>
    <xf numFmtId="49" fontId="15" fillId="0" borderId="13" xfId="56" applyNumberFormat="1" applyFont="1" applyFill="1" applyBorder="1" applyAlignment="1">
      <alignment horizontal="center" vertical="center"/>
      <protection/>
    </xf>
    <xf numFmtId="1" fontId="15" fillId="0" borderId="13" xfId="56" applyNumberFormat="1" applyFont="1" applyFill="1" applyBorder="1" applyAlignment="1">
      <alignment vertical="center" wrapText="1"/>
      <protection/>
    </xf>
    <xf numFmtId="3" fontId="15" fillId="33" borderId="13" xfId="56" applyNumberFormat="1" applyFont="1" applyFill="1" applyBorder="1" applyAlignment="1">
      <alignment horizontal="center" vertical="center" wrapText="1"/>
      <protection/>
    </xf>
    <xf numFmtId="2" fontId="15" fillId="33" borderId="13" xfId="0" applyNumberFormat="1" applyFont="1" applyFill="1" applyBorder="1" applyAlignment="1">
      <alignment horizontal="left" vertical="center" wrapText="1"/>
    </xf>
    <xf numFmtId="3" fontId="15" fillId="0" borderId="13" xfId="56" applyNumberFormat="1" applyFont="1" applyFill="1" applyBorder="1" applyAlignment="1" quotePrefix="1">
      <alignment horizontal="center" vertical="center" wrapText="1"/>
      <protection/>
    </xf>
    <xf numFmtId="49" fontId="18" fillId="0" borderId="13" xfId="56" applyNumberFormat="1" applyFont="1" applyFill="1" applyBorder="1" applyAlignment="1">
      <alignment horizontal="center" vertical="center"/>
      <protection/>
    </xf>
    <xf numFmtId="0" fontId="18" fillId="0" borderId="13" xfId="0" applyFont="1" applyFill="1" applyBorder="1" applyAlignment="1">
      <alignment vertical="center" wrapText="1"/>
    </xf>
    <xf numFmtId="1" fontId="18" fillId="33" borderId="13" xfId="56" applyNumberFormat="1" applyFont="1" applyFill="1" applyBorder="1" applyAlignment="1">
      <alignment horizontal="center" vertical="center" wrapText="1"/>
      <protection/>
    </xf>
    <xf numFmtId="1" fontId="18" fillId="0" borderId="13" xfId="56" applyNumberFormat="1" applyFont="1" applyFill="1" applyBorder="1" applyAlignment="1">
      <alignment horizontal="center" vertical="center" wrapText="1"/>
      <protection/>
    </xf>
    <xf numFmtId="3" fontId="18" fillId="0" borderId="13" xfId="56" applyNumberFormat="1" applyFont="1" applyFill="1" applyBorder="1" applyAlignment="1" quotePrefix="1">
      <alignment horizontal="center" vertical="center" wrapText="1"/>
      <protection/>
    </xf>
    <xf numFmtId="0" fontId="18" fillId="0" borderId="16" xfId="0" applyFont="1" applyBorder="1" applyAlignment="1">
      <alignment horizontal="center" vertical="center" wrapText="1"/>
    </xf>
    <xf numFmtId="0" fontId="18" fillId="0" borderId="16" xfId="57" applyFont="1" applyBorder="1" applyAlignment="1">
      <alignment horizontal="left" vertical="center" wrapText="1"/>
      <protection/>
    </xf>
    <xf numFmtId="164" fontId="18" fillId="0" borderId="16" xfId="41" applyNumberFormat="1" applyFont="1" applyBorder="1" applyAlignment="1">
      <alignment horizontal="right" vertical="center" wrapText="1"/>
    </xf>
    <xf numFmtId="0" fontId="87" fillId="0" borderId="13" xfId="0" applyFont="1" applyBorder="1" applyAlignment="1">
      <alignment horizontal="center" vertical="center" wrapText="1"/>
    </xf>
    <xf numFmtId="0" fontId="88" fillId="0" borderId="13" xfId="0" applyFont="1" applyBorder="1" applyAlignment="1">
      <alignment horizontal="center" vertical="top" wrapText="1"/>
    </xf>
    <xf numFmtId="164" fontId="87" fillId="0" borderId="13" xfId="41" applyNumberFormat="1" applyFont="1" applyBorder="1" applyAlignment="1">
      <alignment horizontal="right" vertical="center" wrapText="1"/>
    </xf>
    <xf numFmtId="0" fontId="33" fillId="0" borderId="23" xfId="0" applyFont="1" applyBorder="1" applyAlignment="1">
      <alignment horizontal="center"/>
    </xf>
    <xf numFmtId="0" fontId="33" fillId="0" borderId="23" xfId="0" applyFont="1" applyBorder="1" applyAlignment="1">
      <alignment/>
    </xf>
    <xf numFmtId="164" fontId="88" fillId="0" borderId="12" xfId="41" applyNumberFormat="1" applyFont="1" applyBorder="1" applyAlignment="1">
      <alignment horizontal="right" vertical="center" wrapText="1"/>
    </xf>
    <xf numFmtId="0" fontId="33" fillId="0" borderId="19" xfId="0" applyFont="1" applyBorder="1" applyAlignment="1">
      <alignment horizontal="center"/>
    </xf>
    <xf numFmtId="0" fontId="33" fillId="0" borderId="19" xfId="0" applyFont="1" applyBorder="1" applyAlignment="1">
      <alignment/>
    </xf>
    <xf numFmtId="0" fontId="15" fillId="0" borderId="23" xfId="0" applyFont="1" applyBorder="1" applyAlignment="1">
      <alignment horizontal="center"/>
    </xf>
    <xf numFmtId="0" fontId="15" fillId="0" borderId="23" xfId="0" applyFont="1" applyBorder="1" applyAlignment="1">
      <alignment/>
    </xf>
    <xf numFmtId="0" fontId="15" fillId="0" borderId="19" xfId="0" applyFont="1" applyBorder="1" applyAlignment="1">
      <alignment horizontal="center"/>
    </xf>
    <xf numFmtId="0" fontId="15" fillId="0" borderId="19" xfId="0" applyFont="1" applyBorder="1" applyAlignment="1">
      <alignment/>
    </xf>
    <xf numFmtId="0" fontId="15" fillId="0" borderId="24" xfId="0" applyFont="1" applyBorder="1" applyAlignment="1">
      <alignment horizontal="center"/>
    </xf>
    <xf numFmtId="0" fontId="15" fillId="0" borderId="24" xfId="0" applyFont="1" applyBorder="1" applyAlignment="1">
      <alignment/>
    </xf>
    <xf numFmtId="164" fontId="76" fillId="0" borderId="25" xfId="41" applyNumberFormat="1" applyFont="1" applyBorder="1" applyAlignment="1">
      <alignment horizontal="right" vertical="center" wrapText="1"/>
    </xf>
    <xf numFmtId="164" fontId="76" fillId="0" borderId="26" xfId="41" applyNumberFormat="1" applyFont="1" applyBorder="1" applyAlignment="1">
      <alignment horizontal="right" vertical="center" wrapText="1"/>
    </xf>
    <xf numFmtId="0" fontId="33" fillId="0" borderId="24" xfId="0" applyFont="1" applyBorder="1" applyAlignment="1">
      <alignment horizontal="center"/>
    </xf>
    <xf numFmtId="0" fontId="33" fillId="0" borderId="24" xfId="0" applyFont="1" applyBorder="1" applyAlignment="1">
      <alignment/>
    </xf>
    <xf numFmtId="164" fontId="88" fillId="0" borderId="25" xfId="41" applyNumberFormat="1" applyFont="1" applyBorder="1" applyAlignment="1">
      <alignment horizontal="right" vertical="center" wrapText="1"/>
    </xf>
    <xf numFmtId="164" fontId="88" fillId="0" borderId="26" xfId="41" applyNumberFormat="1" applyFont="1" applyBorder="1" applyAlignment="1">
      <alignment horizontal="right" vertical="center" wrapText="1"/>
    </xf>
    <xf numFmtId="0" fontId="6" fillId="0" borderId="13" xfId="0" applyFont="1" applyBorder="1" applyAlignment="1">
      <alignment horizontal="center" vertical="center" wrapText="1"/>
    </xf>
    <xf numFmtId="0" fontId="6" fillId="0" borderId="13" xfId="0" applyFont="1" applyBorder="1" applyAlignment="1">
      <alignment horizontal="center" wrapText="1"/>
    </xf>
    <xf numFmtId="0" fontId="69" fillId="0" borderId="13" xfId="0" applyFont="1" applyBorder="1" applyAlignment="1">
      <alignment/>
    </xf>
    <xf numFmtId="0" fontId="82" fillId="0" borderId="13" xfId="0" applyFont="1" applyBorder="1" applyAlignment="1">
      <alignment/>
    </xf>
    <xf numFmtId="0" fontId="72" fillId="0" borderId="13" xfId="0" applyFont="1" applyBorder="1" applyAlignment="1">
      <alignment/>
    </xf>
    <xf numFmtId="0" fontId="70" fillId="0" borderId="21" xfId="0" applyFont="1" applyBorder="1" applyAlignment="1">
      <alignment/>
    </xf>
    <xf numFmtId="0" fontId="89" fillId="0" borderId="13" xfId="0" applyFont="1" applyBorder="1" applyAlignment="1">
      <alignment horizontal="center" vertical="center" wrapText="1"/>
    </xf>
    <xf numFmtId="0" fontId="89" fillId="0" borderId="13" xfId="0" applyFont="1" applyBorder="1" applyAlignment="1">
      <alignment horizontal="center" wrapText="1"/>
    </xf>
    <xf numFmtId="164" fontId="89" fillId="0" borderId="13" xfId="41" applyNumberFormat="1" applyFont="1" applyBorder="1" applyAlignment="1">
      <alignment horizontal="right" vertical="center" wrapText="1"/>
    </xf>
    <xf numFmtId="0" fontId="71" fillId="0" borderId="0" xfId="0" applyFont="1" applyAlignment="1">
      <alignment horizontal="center"/>
    </xf>
    <xf numFmtId="0" fontId="90" fillId="0" borderId="0" xfId="0" applyFont="1" applyAlignment="1">
      <alignment horizontal="left"/>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72" fillId="0" borderId="0" xfId="0" applyFont="1" applyBorder="1" applyAlignment="1">
      <alignment horizontal="center"/>
    </xf>
    <xf numFmtId="0" fontId="90" fillId="0" borderId="0" xfId="0" applyFont="1" applyAlignment="1">
      <alignment horizontal="center"/>
    </xf>
    <xf numFmtId="0" fontId="70" fillId="0" borderId="0" xfId="0" applyFont="1" applyAlignment="1">
      <alignment horizontal="center"/>
    </xf>
    <xf numFmtId="0" fontId="71" fillId="0" borderId="0" xfId="0" applyFont="1" applyAlignment="1">
      <alignment horizontal="left" vertical="center" wrapText="1"/>
    </xf>
    <xf numFmtId="0" fontId="71" fillId="0" borderId="0" xfId="0" applyFont="1" applyAlignment="1">
      <alignment horizontal="right" vertical="center" wrapText="1"/>
    </xf>
    <xf numFmtId="0" fontId="91" fillId="0" borderId="0" xfId="0" applyFont="1" applyAlignment="1">
      <alignment horizontal="center" vertical="center" wrapText="1"/>
    </xf>
    <xf numFmtId="0" fontId="70" fillId="0" borderId="21" xfId="0" applyFont="1" applyBorder="1" applyAlignment="1">
      <alignment horizontal="center"/>
    </xf>
    <xf numFmtId="0" fontId="6" fillId="0" borderId="13" xfId="0" applyFont="1" applyBorder="1" applyAlignment="1">
      <alignment horizontal="center" vertical="center" wrapText="1"/>
    </xf>
    <xf numFmtId="0" fontId="71" fillId="0" borderId="0" xfId="0" applyFont="1" applyAlignment="1">
      <alignment horizontal="center" vertical="center" wrapText="1"/>
    </xf>
    <xf numFmtId="0" fontId="70" fillId="0" borderId="0" xfId="0" applyFont="1" applyBorder="1" applyAlignment="1">
      <alignment horizontal="center"/>
    </xf>
    <xf numFmtId="0" fontId="6" fillId="0" borderId="14" xfId="0" applyFont="1" applyBorder="1" applyAlignment="1">
      <alignment horizontal="center" vertical="center" wrapText="1"/>
    </xf>
    <xf numFmtId="0" fontId="6" fillId="0" borderId="27" xfId="0" applyFont="1" applyBorder="1" applyAlignment="1">
      <alignment horizontal="center" vertical="center" wrapText="1"/>
    </xf>
    <xf numFmtId="0" fontId="92" fillId="0" borderId="0" xfId="0" applyFont="1" applyAlignment="1">
      <alignment horizontal="center" vertical="center" wrapText="1"/>
    </xf>
    <xf numFmtId="0" fontId="80" fillId="0" borderId="0" xfId="0" applyFont="1" applyAlignment="1">
      <alignment horizontal="right" vertical="center" wrapText="1"/>
    </xf>
    <xf numFmtId="0" fontId="80" fillId="0" borderId="0" xfId="0" applyFont="1" applyAlignment="1">
      <alignment horizontal="center" vertical="center" wrapText="1"/>
    </xf>
    <xf numFmtId="0" fontId="77" fillId="0" borderId="0" xfId="0" applyFont="1" applyAlignment="1">
      <alignment horizontal="center"/>
    </xf>
    <xf numFmtId="0" fontId="77" fillId="0" borderId="0" xfId="0" applyFont="1" applyBorder="1" applyAlignment="1">
      <alignment horizontal="center"/>
    </xf>
    <xf numFmtId="0" fontId="17" fillId="0" borderId="13" xfId="0" applyFont="1" applyBorder="1" applyAlignment="1">
      <alignment horizontal="center" vertical="center" wrapText="1"/>
    </xf>
    <xf numFmtId="0" fontId="92" fillId="0" borderId="0" xfId="0" applyFont="1" applyAlignment="1">
      <alignment horizontal="center"/>
    </xf>
    <xf numFmtId="0" fontId="17" fillId="0" borderId="14"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80" fillId="0" borderId="0" xfId="0" applyFont="1" applyAlignment="1">
      <alignment horizontal="center"/>
    </xf>
    <xf numFmtId="0" fontId="77" fillId="0" borderId="21" xfId="0" applyFont="1" applyBorder="1" applyAlignment="1">
      <alignment horizontal="center"/>
    </xf>
    <xf numFmtId="0" fontId="17" fillId="0" borderId="28" xfId="0" applyFont="1" applyBorder="1" applyAlignment="1">
      <alignment horizontal="center" wrapText="1"/>
    </xf>
    <xf numFmtId="0" fontId="17" fillId="0" borderId="29" xfId="0" applyFont="1" applyBorder="1" applyAlignment="1">
      <alignment horizontal="center" wrapText="1"/>
    </xf>
    <xf numFmtId="0" fontId="17" fillId="0" borderId="30" xfId="0" applyFont="1" applyBorder="1" applyAlignment="1">
      <alignment horizontal="center" wrapText="1"/>
    </xf>
    <xf numFmtId="0" fontId="80" fillId="0" borderId="13" xfId="0" applyFont="1" applyBorder="1" applyAlignment="1">
      <alignment horizontal="center" vertical="center" wrapText="1"/>
    </xf>
    <xf numFmtId="0" fontId="80" fillId="0" borderId="14" xfId="0" applyFont="1" applyBorder="1" applyAlignment="1">
      <alignment horizontal="center" vertical="center" wrapText="1"/>
    </xf>
    <xf numFmtId="0" fontId="80" fillId="0" borderId="22" xfId="0" applyFont="1" applyBorder="1" applyAlignment="1">
      <alignment horizontal="center" vertical="center" wrapText="1"/>
    </xf>
    <xf numFmtId="0" fontId="80" fillId="0" borderId="28" xfId="0" applyFont="1" applyBorder="1" applyAlignment="1">
      <alignment horizontal="center" vertical="center" wrapText="1"/>
    </xf>
    <xf numFmtId="0" fontId="80" fillId="0" borderId="30" xfId="0" applyFont="1" applyBorder="1" applyAlignment="1">
      <alignment horizontal="center" vertical="center" wrapText="1"/>
    </xf>
    <xf numFmtId="0" fontId="80" fillId="0" borderId="29" xfId="0" applyFont="1" applyBorder="1" applyAlignment="1">
      <alignment horizontal="center" vertical="center" wrapText="1"/>
    </xf>
    <xf numFmtId="0" fontId="70" fillId="0" borderId="31" xfId="0" applyFont="1" applyBorder="1" applyAlignment="1">
      <alignment horizontal="center"/>
    </xf>
    <xf numFmtId="0" fontId="73" fillId="0" borderId="32" xfId="0" applyFont="1" applyBorder="1" applyAlignment="1">
      <alignment horizontal="center" vertical="center" wrapText="1"/>
    </xf>
    <xf numFmtId="0" fontId="73" fillId="0" borderId="33" xfId="0" applyFont="1" applyBorder="1" applyAlignment="1">
      <alignment horizontal="center" vertical="center" wrapText="1"/>
    </xf>
    <xf numFmtId="0" fontId="73" fillId="0" borderId="34" xfId="0" applyFont="1" applyBorder="1" applyAlignment="1">
      <alignment horizontal="center" vertical="center" wrapText="1"/>
    </xf>
    <xf numFmtId="0" fontId="73" fillId="0" borderId="35" xfId="0" applyFont="1" applyBorder="1" applyAlignment="1">
      <alignment horizontal="center" vertical="center" wrapText="1"/>
    </xf>
    <xf numFmtId="0" fontId="73" fillId="0" borderId="18"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36"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33" xfId="0" applyFont="1" applyBorder="1" applyAlignment="1">
      <alignment horizontal="center" vertical="center" wrapText="1"/>
    </xf>
    <xf numFmtId="0" fontId="93" fillId="0" borderId="0" xfId="0" applyFont="1" applyAlignment="1">
      <alignment horizontal="center"/>
    </xf>
    <xf numFmtId="0" fontId="94" fillId="0" borderId="0" xfId="0" applyFont="1" applyAlignment="1">
      <alignment horizontal="center"/>
    </xf>
    <xf numFmtId="0" fontId="6" fillId="0" borderId="13"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Bieu mau (CV ) 2"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33"/>
  <sheetViews>
    <sheetView zoomScalePageLayoutView="0" workbookViewId="0" topLeftCell="A4">
      <selection activeCell="L13" sqref="L13"/>
    </sheetView>
  </sheetViews>
  <sheetFormatPr defaultColWidth="9.00390625" defaultRowHeight="15"/>
  <cols>
    <col min="1" max="1" width="6.7109375" style="1" customWidth="1"/>
    <col min="2" max="2" width="34.421875" style="1" customWidth="1"/>
    <col min="3" max="3" width="10.57421875" style="1" customWidth="1"/>
    <col min="4" max="4" width="11.28125" style="1" customWidth="1"/>
    <col min="5" max="6" width="10.57421875" style="1" customWidth="1"/>
    <col min="7" max="16384" width="9.00390625" style="1" customWidth="1"/>
  </cols>
  <sheetData>
    <row r="2" spans="1:6" ht="18">
      <c r="A2" s="220" t="s">
        <v>316</v>
      </c>
      <c r="B2" s="220"/>
      <c r="E2" s="219" t="s">
        <v>0</v>
      </c>
      <c r="F2" s="219"/>
    </row>
    <row r="4" spans="1:6" ht="18">
      <c r="A4" s="224" t="s">
        <v>315</v>
      </c>
      <c r="B4" s="224"/>
      <c r="C4" s="224"/>
      <c r="D4" s="224"/>
      <c r="E4" s="224"/>
      <c r="F4" s="224"/>
    </row>
    <row r="5" spans="1:6" ht="14.25">
      <c r="A5" s="225" t="s">
        <v>1</v>
      </c>
      <c r="B5" s="225"/>
      <c r="C5" s="225"/>
      <c r="D5" s="225"/>
      <c r="E5" s="225"/>
      <c r="F5" s="225"/>
    </row>
    <row r="6" spans="1:6" ht="14.25">
      <c r="A6" s="2"/>
      <c r="B6" s="2"/>
      <c r="C6" s="2"/>
      <c r="D6" s="2"/>
      <c r="E6" s="2"/>
      <c r="F6" s="2"/>
    </row>
    <row r="7" spans="5:6" ht="14.25">
      <c r="E7" s="223" t="s">
        <v>185</v>
      </c>
      <c r="F7" s="223"/>
    </row>
    <row r="8" spans="1:6" ht="14.25">
      <c r="A8" s="221" t="s">
        <v>2</v>
      </c>
      <c r="B8" s="221" t="s">
        <v>3</v>
      </c>
      <c r="C8" s="221" t="s">
        <v>217</v>
      </c>
      <c r="D8" s="221" t="s">
        <v>308</v>
      </c>
      <c r="E8" s="221" t="s">
        <v>309</v>
      </c>
      <c r="F8" s="221" t="s">
        <v>5</v>
      </c>
    </row>
    <row r="9" spans="1:6" ht="14.25">
      <c r="A9" s="222"/>
      <c r="B9" s="222"/>
      <c r="C9" s="222" t="s">
        <v>186</v>
      </c>
      <c r="D9" s="222" t="s">
        <v>4</v>
      </c>
      <c r="E9" s="222"/>
      <c r="F9" s="222"/>
    </row>
    <row r="10" spans="1:6" ht="14.25">
      <c r="A10" s="12" t="s">
        <v>6</v>
      </c>
      <c r="B10" s="12" t="s">
        <v>7</v>
      </c>
      <c r="C10" s="12">
        <v>1</v>
      </c>
      <c r="D10" s="12">
        <v>2</v>
      </c>
      <c r="E10" s="12">
        <v>3</v>
      </c>
      <c r="F10" s="12">
        <v>4</v>
      </c>
    </row>
    <row r="11" spans="1:6" ht="34.5" customHeight="1">
      <c r="A11" s="13" t="s">
        <v>6</v>
      </c>
      <c r="B11" s="14" t="s">
        <v>310</v>
      </c>
      <c r="C11" s="33">
        <f>C12+C15+C18+C19+C20+C21+C22</f>
        <v>897220</v>
      </c>
      <c r="D11" s="33">
        <f>D12+D15+D18+D19+D20+D21+D22</f>
        <v>1330166</v>
      </c>
      <c r="E11" s="33">
        <f>E12+E15+E18+E19+E20+E21+E22</f>
        <v>887293</v>
      </c>
      <c r="F11" s="36">
        <f aca="true" t="shared" si="0" ref="F11:F17">E11/D11*100</f>
        <v>66.70543375789187</v>
      </c>
    </row>
    <row r="12" spans="1:6" ht="31.5" customHeight="1">
      <c r="A12" s="10" t="s">
        <v>8</v>
      </c>
      <c r="B12" s="11" t="s">
        <v>9</v>
      </c>
      <c r="C12" s="32">
        <f>SUM(C13:C14)</f>
        <v>538240</v>
      </c>
      <c r="D12" s="32">
        <f>SUM(D13:D14)</f>
        <v>636680</v>
      </c>
      <c r="E12" s="32">
        <f>SUM(E13:E14)</f>
        <v>532761</v>
      </c>
      <c r="F12" s="37">
        <f t="shared" si="0"/>
        <v>83.67798580134448</v>
      </c>
    </row>
    <row r="13" spans="1:6" ht="21.75" customHeight="1">
      <c r="A13" s="5" t="s">
        <v>10</v>
      </c>
      <c r="B13" s="6" t="s">
        <v>311</v>
      </c>
      <c r="C13" s="20">
        <v>361554</v>
      </c>
      <c r="D13" s="20">
        <v>466993</v>
      </c>
      <c r="E13" s="20">
        <v>352801</v>
      </c>
      <c r="F13" s="38">
        <f t="shared" si="0"/>
        <v>75.5473850785772</v>
      </c>
    </row>
    <row r="14" spans="1:6" ht="32.25" customHeight="1">
      <c r="A14" s="5" t="s">
        <v>10</v>
      </c>
      <c r="B14" s="6" t="s">
        <v>312</v>
      </c>
      <c r="C14" s="20">
        <v>176686</v>
      </c>
      <c r="D14" s="20">
        <v>169687</v>
      </c>
      <c r="E14" s="20">
        <v>179960</v>
      </c>
      <c r="F14" s="38">
        <f t="shared" si="0"/>
        <v>106.0540878205166</v>
      </c>
    </row>
    <row r="15" spans="1:6" ht="26.25" customHeight="1">
      <c r="A15" s="10" t="s">
        <v>11</v>
      </c>
      <c r="B15" s="11" t="s">
        <v>12</v>
      </c>
      <c r="C15" s="32">
        <f>SUM(C16:C17)</f>
        <v>351226</v>
      </c>
      <c r="D15" s="32">
        <f>SUM(D16:D17)</f>
        <v>487982</v>
      </c>
      <c r="E15" s="32">
        <f>SUM(E16:E17)</f>
        <v>336588</v>
      </c>
      <c r="F15" s="37">
        <f t="shared" si="0"/>
        <v>68.9754949977663</v>
      </c>
    </row>
    <row r="16" spans="1:6" ht="19.5" customHeight="1">
      <c r="A16" s="5" t="s">
        <v>10</v>
      </c>
      <c r="B16" s="6" t="s">
        <v>13</v>
      </c>
      <c r="C16" s="20">
        <v>202946</v>
      </c>
      <c r="D16" s="20">
        <v>202946</v>
      </c>
      <c r="E16" s="20">
        <v>202946</v>
      </c>
      <c r="F16" s="38">
        <f t="shared" si="0"/>
        <v>100</v>
      </c>
    </row>
    <row r="17" spans="1:6" ht="19.5" customHeight="1">
      <c r="A17" s="5" t="s">
        <v>10</v>
      </c>
      <c r="B17" s="6" t="s">
        <v>14</v>
      </c>
      <c r="C17" s="20">
        <v>148280</v>
      </c>
      <c r="D17" s="20">
        <v>285036</v>
      </c>
      <c r="E17" s="20">
        <v>133642</v>
      </c>
      <c r="F17" s="38">
        <f t="shared" si="0"/>
        <v>46.88600738152374</v>
      </c>
    </row>
    <row r="18" spans="1:6" ht="26.25" customHeight="1">
      <c r="A18" s="10" t="s">
        <v>15</v>
      </c>
      <c r="B18" s="11" t="s">
        <v>16</v>
      </c>
      <c r="C18" s="32"/>
      <c r="D18" s="32">
        <v>822</v>
      </c>
      <c r="E18" s="32"/>
      <c r="F18" s="5">
        <f>E18/D18</f>
        <v>0</v>
      </c>
    </row>
    <row r="19" spans="1:6" ht="34.5" customHeight="1">
      <c r="A19" s="10" t="s">
        <v>17</v>
      </c>
      <c r="B19" s="11" t="s">
        <v>18</v>
      </c>
      <c r="C19" s="32"/>
      <c r="D19" s="32">
        <v>196055</v>
      </c>
      <c r="E19" s="32"/>
      <c r="F19" s="35">
        <f>E19/D19*100</f>
        <v>0</v>
      </c>
    </row>
    <row r="20" spans="1:6" ht="33.75" customHeight="1">
      <c r="A20" s="10" t="s">
        <v>132</v>
      </c>
      <c r="B20" s="11" t="s">
        <v>187</v>
      </c>
      <c r="C20" s="32">
        <v>7754</v>
      </c>
      <c r="D20" s="32"/>
      <c r="E20" s="32">
        <v>17944</v>
      </c>
      <c r="F20" s="35"/>
    </row>
    <row r="21" spans="1:6" ht="26.25" customHeight="1">
      <c r="A21" s="10" t="s">
        <v>188</v>
      </c>
      <c r="B21" s="11" t="s">
        <v>190</v>
      </c>
      <c r="C21" s="32"/>
      <c r="D21" s="32">
        <v>2467</v>
      </c>
      <c r="E21" s="32"/>
      <c r="F21" s="5"/>
    </row>
    <row r="22" spans="1:6" ht="26.25" customHeight="1">
      <c r="A22" s="10" t="s">
        <v>189</v>
      </c>
      <c r="B22" s="11" t="s">
        <v>191</v>
      </c>
      <c r="C22" s="32"/>
      <c r="D22" s="32">
        <v>6160</v>
      </c>
      <c r="E22" s="32"/>
      <c r="F22" s="5"/>
    </row>
    <row r="23" spans="1:6" ht="23.25" customHeight="1">
      <c r="A23" s="13" t="s">
        <v>7</v>
      </c>
      <c r="B23" s="14" t="s">
        <v>313</v>
      </c>
      <c r="C23" s="34">
        <f>C24+C29+C32</f>
        <v>897220</v>
      </c>
      <c r="D23" s="34">
        <f>D24+D29+D32</f>
        <v>0</v>
      </c>
      <c r="E23" s="34">
        <f>E24+E29+E32</f>
        <v>887293</v>
      </c>
      <c r="F23" s="36">
        <f>E23/C23*100</f>
        <v>98.89358239896569</v>
      </c>
    </row>
    <row r="24" spans="1:6" ht="26.25" customHeight="1">
      <c r="A24" s="10" t="s">
        <v>20</v>
      </c>
      <c r="B24" s="11" t="s">
        <v>314</v>
      </c>
      <c r="C24" s="21">
        <f>SUM(C25:C27)</f>
        <v>748940</v>
      </c>
      <c r="D24" s="21">
        <f>SUM(D25:D27)</f>
        <v>0</v>
      </c>
      <c r="E24" s="21">
        <f>SUM(E25:E27)</f>
        <v>753651</v>
      </c>
      <c r="F24" s="37">
        <f aca="true" t="shared" si="1" ref="F24:F31">E24/C24*100</f>
        <v>100.62902235159027</v>
      </c>
    </row>
    <row r="25" spans="1:6" ht="19.5" customHeight="1">
      <c r="A25" s="7">
        <v>1</v>
      </c>
      <c r="B25" s="6" t="s">
        <v>21</v>
      </c>
      <c r="C25" s="20">
        <v>314900</v>
      </c>
      <c r="D25" s="20"/>
      <c r="E25" s="20">
        <v>313440</v>
      </c>
      <c r="F25" s="38">
        <f t="shared" si="1"/>
        <v>99.53636074944427</v>
      </c>
    </row>
    <row r="26" spans="1:6" ht="19.5" customHeight="1">
      <c r="A26" s="7">
        <v>2</v>
      </c>
      <c r="B26" s="6" t="s">
        <v>22</v>
      </c>
      <c r="C26" s="20">
        <f>566703-148280</f>
        <v>418423</v>
      </c>
      <c r="D26" s="20"/>
      <c r="E26" s="20">
        <f>558372-133642</f>
        <v>424730</v>
      </c>
      <c r="F26" s="38">
        <f t="shared" si="1"/>
        <v>101.50732631810394</v>
      </c>
    </row>
    <row r="27" spans="1:6" ht="19.5" customHeight="1">
      <c r="A27" s="7">
        <v>3</v>
      </c>
      <c r="B27" s="6" t="s">
        <v>23</v>
      </c>
      <c r="C27" s="20">
        <v>15617</v>
      </c>
      <c r="D27" s="20"/>
      <c r="E27" s="20">
        <v>15481</v>
      </c>
      <c r="F27" s="38">
        <f t="shared" si="1"/>
        <v>99.12915412691298</v>
      </c>
    </row>
    <row r="28" spans="1:6" ht="19.5" customHeight="1">
      <c r="A28" s="7">
        <v>4</v>
      </c>
      <c r="B28" s="6" t="s">
        <v>24</v>
      </c>
      <c r="C28" s="16"/>
      <c r="D28" s="16"/>
      <c r="E28" s="16"/>
      <c r="F28" s="5"/>
    </row>
    <row r="29" spans="1:6" ht="26.25" customHeight="1">
      <c r="A29" s="10" t="s">
        <v>11</v>
      </c>
      <c r="B29" s="11" t="s">
        <v>25</v>
      </c>
      <c r="C29" s="21">
        <f>SUM(C30:C31)</f>
        <v>148280</v>
      </c>
      <c r="D29" s="21">
        <f>SUM(D30:D31)</f>
        <v>0</v>
      </c>
      <c r="E29" s="21">
        <f>SUM(E30:E31)</f>
        <v>133642</v>
      </c>
      <c r="F29" s="37">
        <f t="shared" si="1"/>
        <v>90.1281359589965</v>
      </c>
    </row>
    <row r="30" spans="1:6" ht="31.5" customHeight="1">
      <c r="A30" s="7">
        <v>1</v>
      </c>
      <c r="B30" s="6" t="s">
        <v>26</v>
      </c>
      <c r="C30" s="16"/>
      <c r="D30" s="20"/>
      <c r="E30" s="16"/>
      <c r="F30" s="5"/>
    </row>
    <row r="31" spans="1:6" ht="31.5" customHeight="1">
      <c r="A31" s="7">
        <v>2</v>
      </c>
      <c r="B31" s="6" t="s">
        <v>27</v>
      </c>
      <c r="C31" s="20">
        <v>148280</v>
      </c>
      <c r="D31" s="20"/>
      <c r="E31" s="20">
        <v>133642</v>
      </c>
      <c r="F31" s="38">
        <f t="shared" si="1"/>
        <v>90.1281359589965</v>
      </c>
    </row>
    <row r="32" spans="1:6" ht="26.25" customHeight="1">
      <c r="A32" s="8" t="s">
        <v>15</v>
      </c>
      <c r="B32" s="15" t="s">
        <v>28</v>
      </c>
      <c r="C32" s="17"/>
      <c r="D32" s="17"/>
      <c r="E32" s="17"/>
      <c r="F32" s="8"/>
    </row>
    <row r="33" ht="14.25" hidden="1">
      <c r="A33" s="3" t="s">
        <v>29</v>
      </c>
    </row>
  </sheetData>
  <sheetProtection/>
  <mergeCells count="11">
    <mergeCell ref="E2:F2"/>
    <mergeCell ref="A2:B2"/>
    <mergeCell ref="C8:C9"/>
    <mergeCell ref="D8:D9"/>
    <mergeCell ref="A8:A9"/>
    <mergeCell ref="B8:B9"/>
    <mergeCell ref="E8:E9"/>
    <mergeCell ref="F8:F9"/>
    <mergeCell ref="E7:F7"/>
    <mergeCell ref="A4:F4"/>
    <mergeCell ref="A5:F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26"/>
  <sheetViews>
    <sheetView zoomScalePageLayoutView="0" workbookViewId="0" topLeftCell="A4">
      <selection activeCell="F5" sqref="F1:F65536"/>
    </sheetView>
  </sheetViews>
  <sheetFormatPr defaultColWidth="9.00390625" defaultRowHeight="15"/>
  <cols>
    <col min="1" max="1" width="5.57421875" style="77" customWidth="1"/>
    <col min="2" max="2" width="18.00390625" style="77" customWidth="1"/>
    <col min="3" max="3" width="11.00390625" style="77" customWidth="1"/>
    <col min="4" max="4" width="15.57421875" style="77" customWidth="1"/>
    <col min="5" max="5" width="18.57421875" style="77" customWidth="1"/>
    <col min="6" max="6" width="16.57421875" style="77" customWidth="1"/>
    <col min="7" max="16384" width="9.00390625" style="77" customWidth="1"/>
  </cols>
  <sheetData>
    <row r="1" spans="1:6" ht="15">
      <c r="A1" s="237" t="s">
        <v>316</v>
      </c>
      <c r="B1" s="237"/>
      <c r="C1" s="237"/>
      <c r="E1" s="236" t="s">
        <v>157</v>
      </c>
      <c r="F1" s="236"/>
    </row>
    <row r="2" ht="15">
      <c r="A2" s="79"/>
    </row>
    <row r="3" spans="1:6" ht="30" customHeight="1">
      <c r="A3" s="237" t="s">
        <v>822</v>
      </c>
      <c r="B3" s="237"/>
      <c r="C3" s="237"/>
      <c r="D3" s="237"/>
      <c r="E3" s="237"/>
      <c r="F3" s="237"/>
    </row>
    <row r="4" spans="1:6" ht="15">
      <c r="A4" s="238" t="s">
        <v>1</v>
      </c>
      <c r="B4" s="238"/>
      <c r="C4" s="238"/>
      <c r="D4" s="238"/>
      <c r="E4" s="238"/>
      <c r="F4" s="238"/>
    </row>
    <row r="5" spans="1:6" ht="15">
      <c r="A5" s="80"/>
      <c r="B5" s="80"/>
      <c r="C5" s="80"/>
      <c r="D5" s="80"/>
      <c r="E5" s="80"/>
      <c r="F5" s="80"/>
    </row>
    <row r="6" spans="5:6" ht="15">
      <c r="E6" s="239" t="s">
        <v>31</v>
      </c>
      <c r="F6" s="239"/>
    </row>
    <row r="7" spans="1:6" ht="61.5" customHeight="1">
      <c r="A7" s="190" t="s">
        <v>2</v>
      </c>
      <c r="B7" s="190" t="s">
        <v>148</v>
      </c>
      <c r="C7" s="190" t="s">
        <v>152</v>
      </c>
      <c r="D7" s="190" t="s">
        <v>158</v>
      </c>
      <c r="E7" s="190" t="s">
        <v>159</v>
      </c>
      <c r="F7" s="190" t="s">
        <v>160</v>
      </c>
    </row>
    <row r="8" spans="1:6" ht="15">
      <c r="A8" s="191" t="s">
        <v>6</v>
      </c>
      <c r="B8" s="191" t="s">
        <v>7</v>
      </c>
      <c r="C8" s="191">
        <v>1</v>
      </c>
      <c r="D8" s="191">
        <v>2</v>
      </c>
      <c r="E8" s="191">
        <v>3</v>
      </c>
      <c r="F8" s="191">
        <v>4</v>
      </c>
    </row>
    <row r="9" spans="1:6" s="122" customFormat="1" ht="17.25" customHeight="1">
      <c r="A9" s="191"/>
      <c r="B9" s="190" t="s">
        <v>124</v>
      </c>
      <c r="C9" s="192">
        <f>SUM(D9:F9)</f>
        <v>19817</v>
      </c>
      <c r="D9" s="192">
        <f>SUM(D10:D26)</f>
        <v>0</v>
      </c>
      <c r="E9" s="192">
        <f>SUM(E10:E26)</f>
        <v>19817</v>
      </c>
      <c r="F9" s="192">
        <f>SUM(F10:F26)</f>
        <v>0</v>
      </c>
    </row>
    <row r="10" spans="1:6" ht="17.25" customHeight="1">
      <c r="A10" s="193">
        <v>1</v>
      </c>
      <c r="B10" s="194" t="s">
        <v>349</v>
      </c>
      <c r="C10" s="195">
        <f>SUM(D10:F10)</f>
        <v>1246</v>
      </c>
      <c r="D10" s="195"/>
      <c r="E10" s="195">
        <v>1246</v>
      </c>
      <c r="F10" s="195"/>
    </row>
    <row r="11" spans="1:6" ht="17.25" customHeight="1">
      <c r="A11" s="196">
        <v>2</v>
      </c>
      <c r="B11" s="197" t="s">
        <v>350</v>
      </c>
      <c r="C11" s="195">
        <f aca="true" t="shared" si="0" ref="C11:C26">SUM(D11:F11)</f>
        <v>1233</v>
      </c>
      <c r="D11" s="195"/>
      <c r="E11" s="195">
        <v>1233</v>
      </c>
      <c r="F11" s="195"/>
    </row>
    <row r="12" spans="1:6" ht="17.25" customHeight="1">
      <c r="A12" s="196">
        <v>3</v>
      </c>
      <c r="B12" s="197" t="s">
        <v>351</v>
      </c>
      <c r="C12" s="195">
        <f t="shared" si="0"/>
        <v>790</v>
      </c>
      <c r="D12" s="195"/>
      <c r="E12" s="195">
        <v>790</v>
      </c>
      <c r="F12" s="195"/>
    </row>
    <row r="13" spans="1:6" ht="17.25" customHeight="1">
      <c r="A13" s="196">
        <v>4</v>
      </c>
      <c r="B13" s="197" t="s">
        <v>352</v>
      </c>
      <c r="C13" s="195">
        <f t="shared" si="0"/>
        <v>1170</v>
      </c>
      <c r="D13" s="195"/>
      <c r="E13" s="195">
        <v>1170</v>
      </c>
      <c r="F13" s="195"/>
    </row>
    <row r="14" spans="1:6" ht="17.25" customHeight="1">
      <c r="A14" s="196">
        <v>5</v>
      </c>
      <c r="B14" s="197" t="s">
        <v>353</v>
      </c>
      <c r="C14" s="195">
        <f t="shared" si="0"/>
        <v>1078</v>
      </c>
      <c r="D14" s="195"/>
      <c r="E14" s="195">
        <v>1078</v>
      </c>
      <c r="F14" s="195"/>
    </row>
    <row r="15" spans="1:6" ht="17.25" customHeight="1">
      <c r="A15" s="196">
        <v>6</v>
      </c>
      <c r="B15" s="197" t="s">
        <v>354</v>
      </c>
      <c r="C15" s="195">
        <f t="shared" si="0"/>
        <v>1009</v>
      </c>
      <c r="D15" s="195"/>
      <c r="E15" s="195">
        <v>1009</v>
      </c>
      <c r="F15" s="195"/>
    </row>
    <row r="16" spans="1:6" ht="17.25" customHeight="1">
      <c r="A16" s="196">
        <v>7</v>
      </c>
      <c r="B16" s="197" t="s">
        <v>355</v>
      </c>
      <c r="C16" s="195">
        <f t="shared" si="0"/>
        <v>895</v>
      </c>
      <c r="D16" s="195"/>
      <c r="E16" s="195">
        <v>895</v>
      </c>
      <c r="F16" s="195"/>
    </row>
    <row r="17" spans="1:6" ht="17.25" customHeight="1">
      <c r="A17" s="196">
        <v>8</v>
      </c>
      <c r="B17" s="197" t="s">
        <v>356</v>
      </c>
      <c r="C17" s="195">
        <f t="shared" si="0"/>
        <v>924</v>
      </c>
      <c r="D17" s="195"/>
      <c r="E17" s="195">
        <v>924</v>
      </c>
      <c r="F17" s="195"/>
    </row>
    <row r="18" spans="1:6" ht="17.25" customHeight="1">
      <c r="A18" s="196">
        <v>9</v>
      </c>
      <c r="B18" s="197" t="s">
        <v>357</v>
      </c>
      <c r="C18" s="195">
        <f t="shared" si="0"/>
        <v>1217</v>
      </c>
      <c r="D18" s="195"/>
      <c r="E18" s="195">
        <v>1217</v>
      </c>
      <c r="F18" s="195"/>
    </row>
    <row r="19" spans="1:6" ht="17.25" customHeight="1">
      <c r="A19" s="196">
        <v>10</v>
      </c>
      <c r="B19" s="197" t="s">
        <v>358</v>
      </c>
      <c r="C19" s="195">
        <f t="shared" si="0"/>
        <v>849</v>
      </c>
      <c r="D19" s="195"/>
      <c r="E19" s="195">
        <v>849</v>
      </c>
      <c r="F19" s="195"/>
    </row>
    <row r="20" spans="1:6" ht="17.25" customHeight="1">
      <c r="A20" s="196">
        <v>11</v>
      </c>
      <c r="B20" s="197" t="s">
        <v>359</v>
      </c>
      <c r="C20" s="195">
        <f t="shared" si="0"/>
        <v>1612</v>
      </c>
      <c r="D20" s="195"/>
      <c r="E20" s="195">
        <v>1612</v>
      </c>
      <c r="F20" s="195"/>
    </row>
    <row r="21" spans="1:6" ht="17.25" customHeight="1">
      <c r="A21" s="196">
        <v>12</v>
      </c>
      <c r="B21" s="197" t="s">
        <v>360</v>
      </c>
      <c r="C21" s="195">
        <f t="shared" si="0"/>
        <v>1042</v>
      </c>
      <c r="D21" s="195"/>
      <c r="E21" s="195">
        <v>1042</v>
      </c>
      <c r="F21" s="195"/>
    </row>
    <row r="22" spans="1:6" ht="17.25" customHeight="1">
      <c r="A22" s="196">
        <v>13</v>
      </c>
      <c r="B22" s="197" t="s">
        <v>361</v>
      </c>
      <c r="C22" s="195">
        <f t="shared" si="0"/>
        <v>702</v>
      </c>
      <c r="D22" s="195"/>
      <c r="E22" s="195">
        <v>702</v>
      </c>
      <c r="F22" s="195"/>
    </row>
    <row r="23" spans="1:6" ht="17.25" customHeight="1">
      <c r="A23" s="196">
        <v>14</v>
      </c>
      <c r="B23" s="197" t="s">
        <v>362</v>
      </c>
      <c r="C23" s="195">
        <f t="shared" si="0"/>
        <v>1339</v>
      </c>
      <c r="D23" s="195"/>
      <c r="E23" s="195">
        <v>1339</v>
      </c>
      <c r="F23" s="195"/>
    </row>
    <row r="24" spans="1:6" ht="17.25" customHeight="1">
      <c r="A24" s="196">
        <v>15</v>
      </c>
      <c r="B24" s="197" t="s">
        <v>363</v>
      </c>
      <c r="C24" s="195">
        <f t="shared" si="0"/>
        <v>1925</v>
      </c>
      <c r="D24" s="195"/>
      <c r="E24" s="195">
        <v>1925</v>
      </c>
      <c r="F24" s="195"/>
    </row>
    <row r="25" spans="1:6" ht="17.25" customHeight="1">
      <c r="A25" s="196">
        <v>16</v>
      </c>
      <c r="B25" s="197" t="s">
        <v>364</v>
      </c>
      <c r="C25" s="195">
        <f t="shared" si="0"/>
        <v>1538</v>
      </c>
      <c r="D25" s="195"/>
      <c r="E25" s="195">
        <v>1538</v>
      </c>
      <c r="F25" s="195"/>
    </row>
    <row r="26" spans="1:6" ht="17.25" customHeight="1">
      <c r="A26" s="206">
        <v>17</v>
      </c>
      <c r="B26" s="207" t="s">
        <v>365</v>
      </c>
      <c r="C26" s="208">
        <f t="shared" si="0"/>
        <v>1248</v>
      </c>
      <c r="D26" s="208"/>
      <c r="E26" s="208">
        <v>1248</v>
      </c>
      <c r="F26" s="209"/>
    </row>
  </sheetData>
  <sheetProtection/>
  <mergeCells count="5">
    <mergeCell ref="E1:F1"/>
    <mergeCell ref="A1:C1"/>
    <mergeCell ref="A3:F3"/>
    <mergeCell ref="A4:F4"/>
    <mergeCell ref="E6:F6"/>
  </mergeCells>
  <printOptions/>
  <pageMargins left="0.7" right="0.19"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S19"/>
  <sheetViews>
    <sheetView zoomScalePageLayoutView="0" workbookViewId="0" topLeftCell="A1">
      <selection activeCell="M6" sqref="M6:S8"/>
    </sheetView>
  </sheetViews>
  <sheetFormatPr defaultColWidth="9.00390625" defaultRowHeight="15"/>
  <cols>
    <col min="1" max="16384" width="9.00390625" style="1" customWidth="1"/>
  </cols>
  <sheetData>
    <row r="1" spans="1:19" ht="25.5" customHeight="1">
      <c r="A1" s="231" t="s">
        <v>304</v>
      </c>
      <c r="B1" s="231"/>
      <c r="C1" s="231"/>
      <c r="Q1" s="231" t="s">
        <v>161</v>
      </c>
      <c r="R1" s="231"/>
      <c r="S1" s="231"/>
    </row>
    <row r="2" ht="14.25">
      <c r="A2" s="52"/>
    </row>
    <row r="3" spans="1:19" ht="14.25">
      <c r="A3" s="219" t="s">
        <v>305</v>
      </c>
      <c r="B3" s="219"/>
      <c r="C3" s="219"/>
      <c r="D3" s="219"/>
      <c r="E3" s="219"/>
      <c r="F3" s="219"/>
      <c r="G3" s="219"/>
      <c r="H3" s="219"/>
      <c r="I3" s="219"/>
      <c r="J3" s="219"/>
      <c r="K3" s="219"/>
      <c r="L3" s="219"/>
      <c r="M3" s="219"/>
      <c r="N3" s="219"/>
      <c r="O3" s="219"/>
      <c r="P3" s="219"/>
      <c r="Q3" s="219"/>
      <c r="R3" s="219"/>
      <c r="S3" s="219"/>
    </row>
    <row r="4" spans="1:19" ht="14.25">
      <c r="A4" s="225" t="s">
        <v>1</v>
      </c>
      <c r="B4" s="225"/>
      <c r="C4" s="225"/>
      <c r="D4" s="225"/>
      <c r="E4" s="225"/>
      <c r="F4" s="225"/>
      <c r="G4" s="225"/>
      <c r="H4" s="225"/>
      <c r="I4" s="225"/>
      <c r="J4" s="225"/>
      <c r="K4" s="225"/>
      <c r="L4" s="225"/>
      <c r="M4" s="225"/>
      <c r="N4" s="225"/>
      <c r="O4" s="225"/>
      <c r="P4" s="225"/>
      <c r="Q4" s="225"/>
      <c r="R4" s="225"/>
      <c r="S4" s="225"/>
    </row>
    <row r="5" spans="17:19" ht="15" thickBot="1">
      <c r="Q5" s="259" t="s">
        <v>31</v>
      </c>
      <c r="R5" s="259"/>
      <c r="S5" s="259"/>
    </row>
    <row r="6" spans="1:19" ht="15.75" customHeight="1" thickBot="1">
      <c r="A6" s="265" t="s">
        <v>2</v>
      </c>
      <c r="B6" s="265" t="s">
        <v>148</v>
      </c>
      <c r="C6" s="265" t="s">
        <v>152</v>
      </c>
      <c r="D6" s="268" t="s">
        <v>162</v>
      </c>
      <c r="E6" s="269"/>
      <c r="F6" s="268" t="s">
        <v>163</v>
      </c>
      <c r="G6" s="270"/>
      <c r="H6" s="270"/>
      <c r="I6" s="270"/>
      <c r="J6" s="270"/>
      <c r="K6" s="270"/>
      <c r="L6" s="269"/>
      <c r="M6" s="268" t="s">
        <v>163</v>
      </c>
      <c r="N6" s="270"/>
      <c r="O6" s="270"/>
      <c r="P6" s="270"/>
      <c r="Q6" s="270"/>
      <c r="R6" s="270"/>
      <c r="S6" s="269"/>
    </row>
    <row r="7" spans="1:19" ht="15.75" customHeight="1" thickBot="1">
      <c r="A7" s="266"/>
      <c r="B7" s="266"/>
      <c r="C7" s="266"/>
      <c r="D7" s="263" t="s">
        <v>164</v>
      </c>
      <c r="E7" s="263" t="s">
        <v>165</v>
      </c>
      <c r="F7" s="263" t="s">
        <v>152</v>
      </c>
      <c r="G7" s="260" t="s">
        <v>164</v>
      </c>
      <c r="H7" s="261"/>
      <c r="I7" s="262"/>
      <c r="J7" s="260" t="s">
        <v>165</v>
      </c>
      <c r="K7" s="261"/>
      <c r="L7" s="262"/>
      <c r="M7" s="263" t="s">
        <v>152</v>
      </c>
      <c r="N7" s="260" t="s">
        <v>164</v>
      </c>
      <c r="O7" s="261"/>
      <c r="P7" s="262"/>
      <c r="Q7" s="260" t="s">
        <v>165</v>
      </c>
      <c r="R7" s="261"/>
      <c r="S7" s="262"/>
    </row>
    <row r="8" spans="1:19" ht="39" thickBot="1">
      <c r="A8" s="267"/>
      <c r="B8" s="267"/>
      <c r="C8" s="267"/>
      <c r="D8" s="264"/>
      <c r="E8" s="264"/>
      <c r="F8" s="264"/>
      <c r="G8" s="66" t="s">
        <v>152</v>
      </c>
      <c r="H8" s="66" t="s">
        <v>166</v>
      </c>
      <c r="I8" s="66" t="s">
        <v>167</v>
      </c>
      <c r="J8" s="66" t="s">
        <v>152</v>
      </c>
      <c r="K8" s="66" t="s">
        <v>166</v>
      </c>
      <c r="L8" s="66" t="s">
        <v>167</v>
      </c>
      <c r="M8" s="264"/>
      <c r="N8" s="66" t="s">
        <v>152</v>
      </c>
      <c r="O8" s="66" t="s">
        <v>166</v>
      </c>
      <c r="P8" s="66" t="s">
        <v>167</v>
      </c>
      <c r="Q8" s="66" t="s">
        <v>152</v>
      </c>
      <c r="R8" s="66" t="s">
        <v>166</v>
      </c>
      <c r="S8" s="66" t="s">
        <v>167</v>
      </c>
    </row>
    <row r="9" spans="1:19" ht="15" thickBot="1">
      <c r="A9" s="58" t="s">
        <v>6</v>
      </c>
      <c r="B9" s="58" t="s">
        <v>7</v>
      </c>
      <c r="C9" s="58" t="s">
        <v>78</v>
      </c>
      <c r="D9" s="58" t="s">
        <v>168</v>
      </c>
      <c r="E9" s="58" t="s">
        <v>169</v>
      </c>
      <c r="F9" s="58" t="s">
        <v>170</v>
      </c>
      <c r="G9" s="58" t="s">
        <v>171</v>
      </c>
      <c r="H9" s="58">
        <v>6</v>
      </c>
      <c r="I9" s="58">
        <v>7</v>
      </c>
      <c r="J9" s="58" t="s">
        <v>172</v>
      </c>
      <c r="K9" s="58">
        <v>9</v>
      </c>
      <c r="L9" s="58">
        <v>10</v>
      </c>
      <c r="M9" s="58" t="s">
        <v>173</v>
      </c>
      <c r="N9" s="58" t="s">
        <v>174</v>
      </c>
      <c r="O9" s="58">
        <v>13</v>
      </c>
      <c r="P9" s="58">
        <v>14</v>
      </c>
      <c r="Q9" s="58" t="s">
        <v>175</v>
      </c>
      <c r="R9" s="58">
        <v>16</v>
      </c>
      <c r="S9" s="59">
        <v>17</v>
      </c>
    </row>
    <row r="10" spans="1:19" ht="15" thickBot="1">
      <c r="A10" s="60"/>
      <c r="B10" s="61" t="s">
        <v>124</v>
      </c>
      <c r="C10" s="60"/>
      <c r="D10" s="60"/>
      <c r="E10" s="60"/>
      <c r="F10" s="60"/>
      <c r="G10" s="60"/>
      <c r="H10" s="60"/>
      <c r="I10" s="60"/>
      <c r="J10" s="60"/>
      <c r="K10" s="60"/>
      <c r="L10" s="60"/>
      <c r="M10" s="60"/>
      <c r="N10" s="60"/>
      <c r="O10" s="60"/>
      <c r="P10" s="60"/>
      <c r="Q10" s="60"/>
      <c r="R10" s="60"/>
      <c r="S10" s="62"/>
    </row>
    <row r="11" spans="1:19" ht="39" thickBot="1">
      <c r="A11" s="60" t="s">
        <v>8</v>
      </c>
      <c r="B11" s="61" t="s">
        <v>76</v>
      </c>
      <c r="C11" s="60"/>
      <c r="D11" s="60"/>
      <c r="E11" s="60"/>
      <c r="F11" s="60"/>
      <c r="G11" s="60"/>
      <c r="H11" s="60"/>
      <c r="I11" s="60"/>
      <c r="J11" s="60"/>
      <c r="K11" s="60"/>
      <c r="L11" s="60"/>
      <c r="M11" s="60"/>
      <c r="N11" s="60"/>
      <c r="O11" s="60"/>
      <c r="P11" s="60"/>
      <c r="Q11" s="60"/>
      <c r="R11" s="60"/>
      <c r="S11" s="62"/>
    </row>
    <row r="12" spans="1:19" ht="15" thickBot="1">
      <c r="A12" s="58">
        <v>1</v>
      </c>
      <c r="B12" s="63" t="s">
        <v>128</v>
      </c>
      <c r="C12" s="58"/>
      <c r="D12" s="58"/>
      <c r="E12" s="58"/>
      <c r="F12" s="58"/>
      <c r="G12" s="58"/>
      <c r="H12" s="58"/>
      <c r="I12" s="58"/>
      <c r="J12" s="58"/>
      <c r="K12" s="58"/>
      <c r="L12" s="58"/>
      <c r="M12" s="58"/>
      <c r="N12" s="58"/>
      <c r="O12" s="58"/>
      <c r="P12" s="58"/>
      <c r="Q12" s="58"/>
      <c r="R12" s="58"/>
      <c r="S12" s="59"/>
    </row>
    <row r="13" spans="1:19" ht="15" thickBot="1">
      <c r="A13" s="58">
        <v>2</v>
      </c>
      <c r="B13" s="63" t="s">
        <v>129</v>
      </c>
      <c r="C13" s="58"/>
      <c r="D13" s="58"/>
      <c r="E13" s="58"/>
      <c r="F13" s="58"/>
      <c r="G13" s="58"/>
      <c r="H13" s="58"/>
      <c r="I13" s="58"/>
      <c r="J13" s="58"/>
      <c r="K13" s="58"/>
      <c r="L13" s="58"/>
      <c r="M13" s="58"/>
      <c r="N13" s="58"/>
      <c r="O13" s="58"/>
      <c r="P13" s="58"/>
      <c r="Q13" s="58"/>
      <c r="R13" s="58"/>
      <c r="S13" s="59"/>
    </row>
    <row r="14" spans="1:19" ht="15" thickBot="1">
      <c r="A14" s="58" t="s">
        <v>130</v>
      </c>
      <c r="B14" s="63" t="s">
        <v>130</v>
      </c>
      <c r="C14" s="58"/>
      <c r="D14" s="58"/>
      <c r="E14" s="58"/>
      <c r="F14" s="58"/>
      <c r="G14" s="58"/>
      <c r="H14" s="58"/>
      <c r="I14" s="58"/>
      <c r="J14" s="58"/>
      <c r="K14" s="58"/>
      <c r="L14" s="58"/>
      <c r="M14" s="58"/>
      <c r="N14" s="58"/>
      <c r="O14" s="58"/>
      <c r="P14" s="58"/>
      <c r="Q14" s="58"/>
      <c r="R14" s="58"/>
      <c r="S14" s="59"/>
    </row>
    <row r="15" spans="1:19" ht="39" thickBot="1">
      <c r="A15" s="60" t="s">
        <v>11</v>
      </c>
      <c r="B15" s="61" t="s">
        <v>74</v>
      </c>
      <c r="C15" s="60"/>
      <c r="D15" s="60"/>
      <c r="E15" s="60"/>
      <c r="F15" s="60"/>
      <c r="G15" s="60"/>
      <c r="H15" s="60"/>
      <c r="I15" s="60"/>
      <c r="J15" s="60"/>
      <c r="K15" s="60"/>
      <c r="L15" s="60"/>
      <c r="M15" s="60"/>
      <c r="N15" s="60"/>
      <c r="O15" s="60"/>
      <c r="P15" s="60"/>
      <c r="Q15" s="60"/>
      <c r="R15" s="60"/>
      <c r="S15" s="62"/>
    </row>
    <row r="16" spans="1:19" ht="15" thickBot="1">
      <c r="A16" s="64">
        <v>1</v>
      </c>
      <c r="B16" s="65" t="s">
        <v>154</v>
      </c>
      <c r="C16" s="58"/>
      <c r="D16" s="58"/>
      <c r="E16" s="58"/>
      <c r="F16" s="58"/>
      <c r="G16" s="58"/>
      <c r="H16" s="58"/>
      <c r="I16" s="58"/>
      <c r="J16" s="58"/>
      <c r="K16" s="58"/>
      <c r="L16" s="58"/>
      <c r="M16" s="58"/>
      <c r="N16" s="58"/>
      <c r="O16" s="58"/>
      <c r="P16" s="58"/>
      <c r="Q16" s="58"/>
      <c r="R16" s="58"/>
      <c r="S16" s="59"/>
    </row>
    <row r="17" spans="1:19" ht="15" thickBot="1">
      <c r="A17" s="64">
        <v>2</v>
      </c>
      <c r="B17" s="65" t="s">
        <v>155</v>
      </c>
      <c r="C17" s="58"/>
      <c r="D17" s="58"/>
      <c r="E17" s="58"/>
      <c r="F17" s="58"/>
      <c r="G17" s="58"/>
      <c r="H17" s="58"/>
      <c r="I17" s="58"/>
      <c r="J17" s="58"/>
      <c r="K17" s="58"/>
      <c r="L17" s="58"/>
      <c r="M17" s="58"/>
      <c r="N17" s="58"/>
      <c r="O17" s="58"/>
      <c r="P17" s="58"/>
      <c r="Q17" s="58"/>
      <c r="R17" s="58"/>
      <c r="S17" s="59"/>
    </row>
    <row r="18" spans="1:19" ht="15" thickBot="1">
      <c r="A18" s="64">
        <v>3</v>
      </c>
      <c r="B18" s="65" t="s">
        <v>156</v>
      </c>
      <c r="C18" s="58"/>
      <c r="D18" s="58"/>
      <c r="E18" s="58"/>
      <c r="F18" s="58"/>
      <c r="G18" s="58"/>
      <c r="H18" s="58"/>
      <c r="I18" s="58"/>
      <c r="J18" s="58"/>
      <c r="K18" s="58"/>
      <c r="L18" s="58"/>
      <c r="M18" s="58"/>
      <c r="N18" s="58"/>
      <c r="O18" s="58"/>
      <c r="P18" s="58"/>
      <c r="Q18" s="58"/>
      <c r="R18" s="58"/>
      <c r="S18" s="59"/>
    </row>
    <row r="19" spans="1:19" ht="15" thickBot="1">
      <c r="A19" s="64" t="s">
        <v>130</v>
      </c>
      <c r="B19" s="65" t="s">
        <v>130</v>
      </c>
      <c r="C19" s="58"/>
      <c r="D19" s="58"/>
      <c r="E19" s="58"/>
      <c r="F19" s="58"/>
      <c r="G19" s="58"/>
      <c r="H19" s="58"/>
      <c r="I19" s="58"/>
      <c r="J19" s="58"/>
      <c r="K19" s="58"/>
      <c r="L19" s="58"/>
      <c r="M19" s="58"/>
      <c r="N19" s="58"/>
      <c r="O19" s="58"/>
      <c r="P19" s="58"/>
      <c r="Q19" s="58"/>
      <c r="R19" s="58"/>
      <c r="S19" s="59"/>
    </row>
  </sheetData>
  <sheetProtection/>
  <mergeCells count="19">
    <mergeCell ref="J7:L7"/>
    <mergeCell ref="M7:M8"/>
    <mergeCell ref="N7:P7"/>
    <mergeCell ref="Q7:S7"/>
    <mergeCell ref="A6:A8"/>
    <mergeCell ref="B6:B8"/>
    <mergeCell ref="C6:C8"/>
    <mergeCell ref="D6:E6"/>
    <mergeCell ref="F6:L6"/>
    <mergeCell ref="M6:S6"/>
    <mergeCell ref="D7:D8"/>
    <mergeCell ref="E7:E8"/>
    <mergeCell ref="F7:F8"/>
    <mergeCell ref="G7:I7"/>
    <mergeCell ref="Q1:S1"/>
    <mergeCell ref="A1:C1"/>
    <mergeCell ref="A4:S4"/>
    <mergeCell ref="Q5:S5"/>
    <mergeCell ref="A3:S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A196"/>
  <sheetViews>
    <sheetView tabSelected="1" zoomScalePageLayoutView="0" workbookViewId="0" topLeftCell="A1">
      <selection activeCell="W6" sqref="W6:Z7"/>
    </sheetView>
  </sheetViews>
  <sheetFormatPr defaultColWidth="9.00390625" defaultRowHeight="15"/>
  <cols>
    <col min="1" max="1" width="6.28125" style="1" customWidth="1"/>
    <col min="2" max="2" width="41.7109375" style="1" customWidth="1"/>
    <col min="3" max="5" width="9.00390625" style="1" hidden="1" customWidth="1"/>
    <col min="6" max="6" width="10.8515625" style="1" hidden="1" customWidth="1"/>
    <col min="7" max="7" width="11.7109375" style="1" hidden="1" customWidth="1"/>
    <col min="8" max="8" width="10.140625" style="1" hidden="1" customWidth="1"/>
    <col min="9" max="9" width="12.421875" style="1" hidden="1" customWidth="1"/>
    <col min="10" max="10" width="10.140625" style="1" hidden="1" customWidth="1"/>
    <col min="11" max="11" width="11.7109375" style="1" customWidth="1"/>
    <col min="12" max="12" width="10.140625" style="1" customWidth="1"/>
    <col min="13" max="13" width="11.28125" style="1" customWidth="1"/>
    <col min="14" max="14" width="9.140625" style="1" customWidth="1"/>
    <col min="15" max="15" width="11.421875" style="1" hidden="1" customWidth="1"/>
    <col min="16" max="17" width="10.00390625" style="1" hidden="1" customWidth="1"/>
    <col min="18" max="18" width="9.140625" style="1" hidden="1" customWidth="1"/>
    <col min="19" max="19" width="10.140625" style="1" hidden="1" customWidth="1"/>
    <col min="20" max="20" width="9.421875" style="1" hidden="1" customWidth="1"/>
    <col min="21" max="21" width="10.00390625" style="1" hidden="1" customWidth="1"/>
    <col min="22" max="22" width="10.57421875" style="1" hidden="1" customWidth="1"/>
    <col min="23" max="23" width="11.57421875" style="1" bestFit="1" customWidth="1"/>
    <col min="24" max="24" width="12.57421875" style="1" bestFit="1" customWidth="1"/>
    <col min="25" max="25" width="10.00390625" style="1" customWidth="1"/>
    <col min="26" max="16384" width="9.00390625" style="1" customWidth="1"/>
  </cols>
  <sheetData>
    <row r="1" ht="14.25">
      <c r="A1" s="52"/>
    </row>
    <row r="2" spans="1:27" ht="18.75">
      <c r="A2" s="271" t="s">
        <v>825</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row>
    <row r="3" spans="1:27" ht="15.75">
      <c r="A3" s="272" t="s">
        <v>826</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row>
    <row r="4" spans="1:21" ht="14.25">
      <c r="A4" s="18"/>
      <c r="B4" s="18"/>
      <c r="C4" s="18"/>
      <c r="D4" s="18"/>
      <c r="E4" s="18"/>
      <c r="F4" s="18"/>
      <c r="G4" s="18"/>
      <c r="H4" s="18"/>
      <c r="I4" s="18"/>
      <c r="J4" s="18"/>
      <c r="K4" s="18"/>
      <c r="L4" s="18"/>
      <c r="M4" s="18"/>
      <c r="N4" s="18"/>
      <c r="O4" s="18"/>
      <c r="P4" s="18"/>
      <c r="Q4" s="18"/>
      <c r="R4" s="18"/>
      <c r="S4" s="18"/>
      <c r="T4" s="18"/>
      <c r="U4" s="18"/>
    </row>
    <row r="5" spans="20:27" ht="14.25">
      <c r="T5" s="229" t="s">
        <v>31</v>
      </c>
      <c r="U5" s="229"/>
      <c r="V5" s="229"/>
      <c r="X5" s="215"/>
      <c r="Y5" s="229" t="s">
        <v>31</v>
      </c>
      <c r="Z5" s="229"/>
      <c r="AA5" s="229"/>
    </row>
    <row r="6" spans="1:27" ht="36.75" customHeight="1">
      <c r="A6" s="230" t="s">
        <v>2</v>
      </c>
      <c r="B6" s="230" t="s">
        <v>176</v>
      </c>
      <c r="C6" s="230" t="s">
        <v>177</v>
      </c>
      <c r="D6" s="230" t="s">
        <v>178</v>
      </c>
      <c r="E6" s="230" t="s">
        <v>179</v>
      </c>
      <c r="F6" s="230" t="s">
        <v>180</v>
      </c>
      <c r="G6" s="230"/>
      <c r="H6" s="230"/>
      <c r="I6" s="230"/>
      <c r="J6" s="230"/>
      <c r="K6" s="230" t="s">
        <v>827</v>
      </c>
      <c r="L6" s="230"/>
      <c r="M6" s="230"/>
      <c r="N6" s="230"/>
      <c r="O6" s="230" t="s">
        <v>386</v>
      </c>
      <c r="P6" s="230"/>
      <c r="Q6" s="230"/>
      <c r="R6" s="230"/>
      <c r="S6" s="230" t="s">
        <v>387</v>
      </c>
      <c r="T6" s="230"/>
      <c r="U6" s="230"/>
      <c r="V6" s="230"/>
      <c r="W6" s="230" t="s">
        <v>823</v>
      </c>
      <c r="X6" s="230"/>
      <c r="Y6" s="230"/>
      <c r="Z6" s="230"/>
      <c r="AA6" s="230" t="s">
        <v>824</v>
      </c>
    </row>
    <row r="7" spans="1:27" ht="36.75" customHeight="1">
      <c r="A7" s="230"/>
      <c r="B7" s="230"/>
      <c r="C7" s="230"/>
      <c r="D7" s="230"/>
      <c r="E7" s="230"/>
      <c r="F7" s="230" t="s">
        <v>181</v>
      </c>
      <c r="G7" s="230" t="s">
        <v>182</v>
      </c>
      <c r="H7" s="230"/>
      <c r="I7" s="230"/>
      <c r="J7" s="230"/>
      <c r="K7" s="230"/>
      <c r="L7" s="230"/>
      <c r="M7" s="230"/>
      <c r="N7" s="230"/>
      <c r="O7" s="230"/>
      <c r="P7" s="230"/>
      <c r="Q7" s="230"/>
      <c r="R7" s="230"/>
      <c r="S7" s="230"/>
      <c r="T7" s="230"/>
      <c r="U7" s="230"/>
      <c r="V7" s="230"/>
      <c r="W7" s="230"/>
      <c r="X7" s="230"/>
      <c r="Y7" s="230"/>
      <c r="Z7" s="230"/>
      <c r="AA7" s="230"/>
    </row>
    <row r="8" spans="1:27" ht="23.25" customHeight="1">
      <c r="A8" s="230"/>
      <c r="B8" s="230"/>
      <c r="C8" s="230"/>
      <c r="D8" s="230"/>
      <c r="E8" s="230"/>
      <c r="F8" s="230"/>
      <c r="G8" s="230" t="s">
        <v>183</v>
      </c>
      <c r="H8" s="230" t="s">
        <v>184</v>
      </c>
      <c r="I8" s="230"/>
      <c r="J8" s="230"/>
      <c r="K8" s="230" t="s">
        <v>152</v>
      </c>
      <c r="L8" s="230" t="s">
        <v>184</v>
      </c>
      <c r="M8" s="230"/>
      <c r="N8" s="230"/>
      <c r="O8" s="230" t="s">
        <v>152</v>
      </c>
      <c r="P8" s="273" t="s">
        <v>184</v>
      </c>
      <c r="Q8" s="273"/>
      <c r="R8" s="273"/>
      <c r="S8" s="230" t="s">
        <v>152</v>
      </c>
      <c r="T8" s="230" t="s">
        <v>184</v>
      </c>
      <c r="U8" s="230"/>
      <c r="V8" s="230"/>
      <c r="W8" s="230" t="s">
        <v>152</v>
      </c>
      <c r="X8" s="230" t="s">
        <v>184</v>
      </c>
      <c r="Y8" s="230"/>
      <c r="Z8" s="230"/>
      <c r="AA8" s="230"/>
    </row>
    <row r="9" spans="1:27" ht="70.5" customHeight="1">
      <c r="A9" s="230"/>
      <c r="B9" s="230"/>
      <c r="C9" s="230"/>
      <c r="D9" s="230"/>
      <c r="E9" s="230"/>
      <c r="F9" s="230"/>
      <c r="G9" s="230"/>
      <c r="H9" s="210" t="s">
        <v>306</v>
      </c>
      <c r="I9" s="210" t="s">
        <v>74</v>
      </c>
      <c r="J9" s="210" t="s">
        <v>307</v>
      </c>
      <c r="K9" s="230"/>
      <c r="L9" s="210" t="s">
        <v>306</v>
      </c>
      <c r="M9" s="210" t="s">
        <v>74</v>
      </c>
      <c r="N9" s="210" t="s">
        <v>307</v>
      </c>
      <c r="O9" s="230"/>
      <c r="P9" s="210" t="s">
        <v>306</v>
      </c>
      <c r="Q9" s="210" t="s">
        <v>74</v>
      </c>
      <c r="R9" s="210" t="s">
        <v>307</v>
      </c>
      <c r="S9" s="230"/>
      <c r="T9" s="210" t="s">
        <v>306</v>
      </c>
      <c r="U9" s="210" t="s">
        <v>74</v>
      </c>
      <c r="V9" s="210" t="s">
        <v>307</v>
      </c>
      <c r="W9" s="230"/>
      <c r="X9" s="210" t="s">
        <v>306</v>
      </c>
      <c r="Y9" s="210" t="s">
        <v>74</v>
      </c>
      <c r="Z9" s="210" t="s">
        <v>307</v>
      </c>
      <c r="AA9" s="230"/>
    </row>
    <row r="10" spans="1:27" ht="15.75" customHeight="1">
      <c r="A10" s="210" t="s">
        <v>6</v>
      </c>
      <c r="B10" s="210" t="s">
        <v>7</v>
      </c>
      <c r="C10" s="174">
        <v>1</v>
      </c>
      <c r="D10" s="174">
        <v>2</v>
      </c>
      <c r="E10" s="174">
        <v>3</v>
      </c>
      <c r="F10" s="174">
        <v>4</v>
      </c>
      <c r="G10" s="174">
        <v>5</v>
      </c>
      <c r="H10" s="174">
        <v>6</v>
      </c>
      <c r="I10" s="174">
        <v>7</v>
      </c>
      <c r="J10" s="174">
        <v>8</v>
      </c>
      <c r="K10" s="174">
        <v>9</v>
      </c>
      <c r="L10" s="174">
        <v>10</v>
      </c>
      <c r="M10" s="174">
        <v>11</v>
      </c>
      <c r="N10" s="174">
        <v>12</v>
      </c>
      <c r="O10" s="174">
        <v>13</v>
      </c>
      <c r="P10" s="174">
        <v>14</v>
      </c>
      <c r="Q10" s="174">
        <v>15</v>
      </c>
      <c r="R10" s="174">
        <v>16</v>
      </c>
      <c r="S10" s="174">
        <v>17</v>
      </c>
      <c r="T10" s="174">
        <v>19</v>
      </c>
      <c r="U10" s="174">
        <v>20</v>
      </c>
      <c r="V10" s="174"/>
      <c r="W10" s="174">
        <v>13</v>
      </c>
      <c r="X10" s="174">
        <v>14</v>
      </c>
      <c r="Y10" s="174">
        <v>15</v>
      </c>
      <c r="Z10" s="174">
        <v>16</v>
      </c>
      <c r="AA10" s="212"/>
    </row>
    <row r="11" spans="1:27" ht="25.5" customHeight="1">
      <c r="A11" s="210"/>
      <c r="B11" s="210" t="s">
        <v>152</v>
      </c>
      <c r="C11" s="211"/>
      <c r="D11" s="211"/>
      <c r="E11" s="211"/>
      <c r="F11" s="211"/>
      <c r="G11" s="33">
        <f>G13+G51+G168+G177+G182+G187+G194</f>
        <v>2508459.131</v>
      </c>
      <c r="H11" s="33">
        <f aca="true" t="shared" si="0" ref="H11:Z11">H13+H51+H168+H177+H182+H187+H194</f>
        <v>858929.089</v>
      </c>
      <c r="I11" s="33">
        <f t="shared" si="0"/>
        <v>1569526.0420000001</v>
      </c>
      <c r="J11" s="33">
        <f t="shared" si="0"/>
        <v>65636</v>
      </c>
      <c r="K11" s="33">
        <f t="shared" si="0"/>
        <v>2240389.158</v>
      </c>
      <c r="L11" s="33">
        <f t="shared" si="0"/>
        <v>849019.089</v>
      </c>
      <c r="M11" s="33">
        <f t="shared" si="0"/>
        <v>1324134.3190000001</v>
      </c>
      <c r="N11" s="33">
        <f t="shared" si="0"/>
        <v>65636</v>
      </c>
      <c r="O11" s="33">
        <f t="shared" si="0"/>
        <v>1203828.935</v>
      </c>
      <c r="P11" s="33">
        <f t="shared" si="0"/>
        <v>594026</v>
      </c>
      <c r="Q11" s="33">
        <f t="shared" si="0"/>
        <v>562600.935</v>
      </c>
      <c r="R11" s="33">
        <f t="shared" si="0"/>
        <v>47202</v>
      </c>
      <c r="S11" s="33">
        <f t="shared" si="0"/>
        <v>310453</v>
      </c>
      <c r="T11" s="33">
        <f t="shared" si="0"/>
        <v>95971</v>
      </c>
      <c r="U11" s="33">
        <f t="shared" si="0"/>
        <v>199907</v>
      </c>
      <c r="V11" s="33">
        <f t="shared" si="0"/>
        <v>14875</v>
      </c>
      <c r="W11" s="33">
        <f t="shared" si="0"/>
        <v>1228234</v>
      </c>
      <c r="X11" s="33">
        <f t="shared" si="0"/>
        <v>223767</v>
      </c>
      <c r="Y11" s="33">
        <f t="shared" si="0"/>
        <v>397734</v>
      </c>
      <c r="Z11" s="33">
        <f t="shared" si="0"/>
        <v>35640</v>
      </c>
      <c r="AA11" s="212"/>
    </row>
    <row r="12" spans="1:27" ht="20.25" customHeight="1">
      <c r="A12" s="210"/>
      <c r="B12" s="175" t="s">
        <v>87</v>
      </c>
      <c r="C12" s="211"/>
      <c r="D12" s="211"/>
      <c r="E12" s="211"/>
      <c r="F12" s="211"/>
      <c r="G12" s="33"/>
      <c r="H12" s="33"/>
      <c r="I12" s="33"/>
      <c r="J12" s="33"/>
      <c r="K12" s="33"/>
      <c r="L12" s="33"/>
      <c r="M12" s="33"/>
      <c r="N12" s="33"/>
      <c r="O12" s="33"/>
      <c r="P12" s="33"/>
      <c r="Q12" s="33"/>
      <c r="R12" s="33"/>
      <c r="S12" s="33"/>
      <c r="T12" s="33"/>
      <c r="U12" s="33"/>
      <c r="V12" s="33"/>
      <c r="W12" s="212"/>
      <c r="X12" s="212"/>
      <c r="Y12" s="212"/>
      <c r="Z12" s="212"/>
      <c r="AA12" s="212"/>
    </row>
    <row r="13" spans="1:27" ht="25.5" customHeight="1">
      <c r="A13" s="210" t="s">
        <v>6</v>
      </c>
      <c r="B13" s="14" t="s">
        <v>82</v>
      </c>
      <c r="C13" s="211"/>
      <c r="D13" s="211"/>
      <c r="E13" s="211"/>
      <c r="F13" s="211"/>
      <c r="G13" s="33">
        <f aca="true" t="shared" si="1" ref="G13:Z13">G14+G26</f>
        <v>228238</v>
      </c>
      <c r="H13" s="33">
        <f t="shared" si="1"/>
        <v>67889.589</v>
      </c>
      <c r="I13" s="33">
        <f t="shared" si="1"/>
        <v>143299.411</v>
      </c>
      <c r="J13" s="33">
        <f t="shared" si="1"/>
        <v>2681</v>
      </c>
      <c r="K13" s="33">
        <f t="shared" si="1"/>
        <v>160609</v>
      </c>
      <c r="L13" s="33">
        <f t="shared" si="1"/>
        <v>57979.589</v>
      </c>
      <c r="M13" s="33">
        <f t="shared" si="1"/>
        <v>98348.411</v>
      </c>
      <c r="N13" s="33">
        <f t="shared" si="1"/>
        <v>2681</v>
      </c>
      <c r="O13" s="33">
        <f t="shared" si="1"/>
        <v>64571</v>
      </c>
      <c r="P13" s="33">
        <f t="shared" si="1"/>
        <v>12305</v>
      </c>
      <c r="Q13" s="33">
        <f t="shared" si="1"/>
        <v>49766</v>
      </c>
      <c r="R13" s="33">
        <f t="shared" si="1"/>
        <v>2500</v>
      </c>
      <c r="S13" s="33">
        <f t="shared" si="1"/>
        <v>68500</v>
      </c>
      <c r="T13" s="33">
        <f t="shared" si="1"/>
        <v>35475</v>
      </c>
      <c r="U13" s="33">
        <f t="shared" si="1"/>
        <v>32844</v>
      </c>
      <c r="V13" s="33">
        <f t="shared" si="1"/>
        <v>181</v>
      </c>
      <c r="W13" s="33">
        <f t="shared" si="1"/>
        <v>107259</v>
      </c>
      <c r="X13" s="33">
        <f t="shared" si="1"/>
        <v>15388</v>
      </c>
      <c r="Y13" s="33">
        <f t="shared" si="1"/>
        <v>36512</v>
      </c>
      <c r="Z13" s="33">
        <f t="shared" si="1"/>
        <v>2681</v>
      </c>
      <c r="AA13" s="212"/>
    </row>
    <row r="14" spans="1:27" s="156" customFormat="1" ht="31.5" customHeight="1">
      <c r="A14" s="153" t="s">
        <v>8</v>
      </c>
      <c r="B14" s="176" t="s">
        <v>367</v>
      </c>
      <c r="C14" s="154"/>
      <c r="D14" s="154"/>
      <c r="E14" s="154"/>
      <c r="F14" s="154"/>
      <c r="G14" s="155">
        <f aca="true" t="shared" si="2" ref="G14:Z14">SUM(G15:G25)</f>
        <v>32388</v>
      </c>
      <c r="H14" s="155">
        <f t="shared" si="2"/>
        <v>3578</v>
      </c>
      <c r="I14" s="155">
        <f t="shared" si="2"/>
        <v>14442</v>
      </c>
      <c r="J14" s="155">
        <f t="shared" si="2"/>
        <v>0</v>
      </c>
      <c r="K14" s="155">
        <f t="shared" si="2"/>
        <v>31116</v>
      </c>
      <c r="L14" s="155">
        <f t="shared" si="2"/>
        <v>6220</v>
      </c>
      <c r="M14" s="155">
        <f t="shared" si="2"/>
        <v>23296</v>
      </c>
      <c r="N14" s="155">
        <f t="shared" si="2"/>
        <v>0</v>
      </c>
      <c r="O14" s="155">
        <f t="shared" si="2"/>
        <v>15080</v>
      </c>
      <c r="P14" s="155">
        <f t="shared" si="2"/>
        <v>0</v>
      </c>
      <c r="Q14" s="155">
        <f t="shared" si="2"/>
        <v>15080</v>
      </c>
      <c r="R14" s="155">
        <f t="shared" si="2"/>
        <v>0</v>
      </c>
      <c r="S14" s="155">
        <f t="shared" si="2"/>
        <v>9177</v>
      </c>
      <c r="T14" s="155">
        <f t="shared" si="2"/>
        <v>3936</v>
      </c>
      <c r="U14" s="155">
        <f t="shared" si="2"/>
        <v>5241</v>
      </c>
      <c r="V14" s="155">
        <f t="shared" si="2"/>
        <v>0</v>
      </c>
      <c r="W14" s="155">
        <f t="shared" si="2"/>
        <v>29516</v>
      </c>
      <c r="X14" s="155">
        <f t="shared" si="2"/>
        <v>6220</v>
      </c>
      <c r="Y14" s="155">
        <f t="shared" si="2"/>
        <v>23296</v>
      </c>
      <c r="Z14" s="155">
        <f t="shared" si="2"/>
        <v>0</v>
      </c>
      <c r="AA14" s="213"/>
    </row>
    <row r="15" spans="1:27" ht="33" customHeight="1">
      <c r="A15" s="177" t="s">
        <v>368</v>
      </c>
      <c r="B15" s="178" t="s">
        <v>369</v>
      </c>
      <c r="C15" s="72" t="s">
        <v>378</v>
      </c>
      <c r="D15" s="211"/>
      <c r="E15" s="72" t="s">
        <v>379</v>
      </c>
      <c r="F15" s="179" t="s">
        <v>381</v>
      </c>
      <c r="G15" s="158">
        <v>4954</v>
      </c>
      <c r="H15" s="158">
        <v>1936</v>
      </c>
      <c r="I15" s="158">
        <f>G15-H15</f>
        <v>3018</v>
      </c>
      <c r="J15" s="33"/>
      <c r="K15" s="158">
        <v>4670</v>
      </c>
      <c r="L15" s="158">
        <v>1936</v>
      </c>
      <c r="M15" s="158">
        <f>K15-L15</f>
        <v>2734</v>
      </c>
      <c r="N15" s="33"/>
      <c r="O15" s="158">
        <f aca="true" t="shared" si="3" ref="O15:O25">SUM(P15:R15)</f>
        <v>2734</v>
      </c>
      <c r="P15" s="33"/>
      <c r="Q15" s="158">
        <v>2734</v>
      </c>
      <c r="R15" s="33"/>
      <c r="S15" s="158">
        <f aca="true" t="shared" si="4" ref="S15:S25">SUM(T15:V15)</f>
        <v>1936</v>
      </c>
      <c r="T15" s="158">
        <v>1936</v>
      </c>
      <c r="U15" s="158"/>
      <c r="V15" s="158"/>
      <c r="W15" s="158">
        <f>SUM(X15:Z15)</f>
        <v>4670</v>
      </c>
      <c r="X15" s="158">
        <v>1936</v>
      </c>
      <c r="Y15" s="158">
        <v>2734</v>
      </c>
      <c r="Z15" s="158"/>
      <c r="AA15" s="212"/>
    </row>
    <row r="16" spans="1:27" ht="34.5" customHeight="1">
      <c r="A16" s="177" t="s">
        <v>370</v>
      </c>
      <c r="B16" s="178" t="s">
        <v>371</v>
      </c>
      <c r="C16" s="72" t="s">
        <v>378</v>
      </c>
      <c r="D16" s="31"/>
      <c r="E16" s="72" t="s">
        <v>380</v>
      </c>
      <c r="F16" s="179" t="s">
        <v>382</v>
      </c>
      <c r="G16" s="158">
        <v>1041</v>
      </c>
      <c r="H16" s="69"/>
      <c r="I16" s="158">
        <f>G16-H16</f>
        <v>1041</v>
      </c>
      <c r="J16" s="31"/>
      <c r="K16" s="158">
        <v>1041</v>
      </c>
      <c r="L16" s="69"/>
      <c r="M16" s="158">
        <f>K16-L16</f>
        <v>1041</v>
      </c>
      <c r="N16" s="31"/>
      <c r="O16" s="158">
        <f t="shared" si="3"/>
        <v>809</v>
      </c>
      <c r="P16" s="31"/>
      <c r="Q16" s="158">
        <v>809</v>
      </c>
      <c r="R16" s="31"/>
      <c r="S16" s="158">
        <f t="shared" si="4"/>
        <v>232</v>
      </c>
      <c r="T16" s="159"/>
      <c r="U16" s="159">
        <v>232</v>
      </c>
      <c r="V16" s="159"/>
      <c r="W16" s="158">
        <f aca="true" t="shared" si="5" ref="W16:W79">SUM(X16:Z16)</f>
        <v>1041</v>
      </c>
      <c r="X16" s="69"/>
      <c r="Y16" s="69">
        <v>1041</v>
      </c>
      <c r="Z16" s="69"/>
      <c r="AA16" s="212"/>
    </row>
    <row r="17" spans="1:27" ht="34.5" customHeight="1">
      <c r="A17" s="177" t="s">
        <v>372</v>
      </c>
      <c r="B17" s="178" t="s">
        <v>373</v>
      </c>
      <c r="C17" s="72" t="s">
        <v>354</v>
      </c>
      <c r="D17" s="31"/>
      <c r="E17" s="72" t="s">
        <v>380</v>
      </c>
      <c r="F17" s="179" t="s">
        <v>383</v>
      </c>
      <c r="G17" s="158">
        <v>684</v>
      </c>
      <c r="H17" s="69"/>
      <c r="I17" s="158">
        <f>G17-H17</f>
        <v>684</v>
      </c>
      <c r="J17" s="31"/>
      <c r="K17" s="158">
        <v>684</v>
      </c>
      <c r="L17" s="69"/>
      <c r="M17" s="158">
        <f>K17-L17</f>
        <v>684</v>
      </c>
      <c r="N17" s="31"/>
      <c r="O17" s="158">
        <f t="shared" si="3"/>
        <v>560</v>
      </c>
      <c r="P17" s="31"/>
      <c r="Q17" s="158">
        <v>560</v>
      </c>
      <c r="R17" s="31"/>
      <c r="S17" s="158">
        <f t="shared" si="4"/>
        <v>124</v>
      </c>
      <c r="T17" s="159"/>
      <c r="U17" s="159">
        <v>124</v>
      </c>
      <c r="V17" s="159"/>
      <c r="W17" s="158">
        <f t="shared" si="5"/>
        <v>684</v>
      </c>
      <c r="X17" s="69"/>
      <c r="Y17" s="69">
        <v>684</v>
      </c>
      <c r="Z17" s="69"/>
      <c r="AA17" s="212"/>
    </row>
    <row r="18" spans="1:27" ht="47.25" customHeight="1">
      <c r="A18" s="177" t="s">
        <v>374</v>
      </c>
      <c r="B18" s="178" t="s">
        <v>375</v>
      </c>
      <c r="C18" s="72" t="s">
        <v>365</v>
      </c>
      <c r="D18" s="31"/>
      <c r="E18" s="72">
        <v>2019</v>
      </c>
      <c r="F18" s="179" t="s">
        <v>384</v>
      </c>
      <c r="G18" s="158">
        <v>1091</v>
      </c>
      <c r="H18" s="69"/>
      <c r="I18" s="158">
        <f>G18-H18</f>
        <v>1091</v>
      </c>
      <c r="J18" s="31"/>
      <c r="K18" s="158">
        <v>1091</v>
      </c>
      <c r="L18" s="69"/>
      <c r="M18" s="158">
        <f>K18-L18</f>
        <v>1091</v>
      </c>
      <c r="N18" s="31"/>
      <c r="O18" s="158">
        <f t="shared" si="3"/>
        <v>956</v>
      </c>
      <c r="P18" s="31"/>
      <c r="Q18" s="158">
        <v>956</v>
      </c>
      <c r="R18" s="31"/>
      <c r="S18" s="158">
        <f t="shared" si="4"/>
        <v>135</v>
      </c>
      <c r="T18" s="159"/>
      <c r="U18" s="159">
        <v>135</v>
      </c>
      <c r="V18" s="159"/>
      <c r="W18" s="158">
        <f t="shared" si="5"/>
        <v>1091</v>
      </c>
      <c r="X18" s="69"/>
      <c r="Y18" s="69">
        <v>1091</v>
      </c>
      <c r="Z18" s="69"/>
      <c r="AA18" s="212"/>
    </row>
    <row r="19" spans="1:27" ht="34.5" customHeight="1">
      <c r="A19" s="177" t="s">
        <v>376</v>
      </c>
      <c r="B19" s="178" t="s">
        <v>377</v>
      </c>
      <c r="C19" s="72" t="s">
        <v>360</v>
      </c>
      <c r="D19" s="31"/>
      <c r="E19" s="72" t="s">
        <v>380</v>
      </c>
      <c r="F19" s="179" t="s">
        <v>385</v>
      </c>
      <c r="G19" s="158">
        <v>2815</v>
      </c>
      <c r="H19" s="69"/>
      <c r="I19" s="158">
        <f>G19-H19</f>
        <v>2815</v>
      </c>
      <c r="J19" s="31"/>
      <c r="K19" s="158">
        <v>2815</v>
      </c>
      <c r="L19" s="69"/>
      <c r="M19" s="158">
        <f>K19-L19</f>
        <v>2815</v>
      </c>
      <c r="N19" s="31"/>
      <c r="O19" s="158">
        <f t="shared" si="3"/>
        <v>1925</v>
      </c>
      <c r="P19" s="31"/>
      <c r="Q19" s="158">
        <v>1925</v>
      </c>
      <c r="R19" s="31"/>
      <c r="S19" s="158">
        <f t="shared" si="4"/>
        <v>650</v>
      </c>
      <c r="T19" s="159"/>
      <c r="U19" s="159">
        <v>650</v>
      </c>
      <c r="V19" s="159"/>
      <c r="W19" s="158">
        <f t="shared" si="5"/>
        <v>2815</v>
      </c>
      <c r="X19" s="69"/>
      <c r="Y19" s="69">
        <v>2815</v>
      </c>
      <c r="Z19" s="69"/>
      <c r="AA19" s="212"/>
    </row>
    <row r="20" spans="1:27" ht="34.5" customHeight="1">
      <c r="A20" s="177" t="s">
        <v>399</v>
      </c>
      <c r="B20" s="180" t="s">
        <v>388</v>
      </c>
      <c r="C20" s="72" t="s">
        <v>360</v>
      </c>
      <c r="D20" s="31"/>
      <c r="E20" s="181" t="s">
        <v>392</v>
      </c>
      <c r="F20" s="181" t="s">
        <v>395</v>
      </c>
      <c r="G20" s="158">
        <v>4139</v>
      </c>
      <c r="H20" s="69"/>
      <c r="I20" s="69"/>
      <c r="J20" s="31"/>
      <c r="K20" s="158">
        <v>3942</v>
      </c>
      <c r="L20" s="158">
        <v>2642</v>
      </c>
      <c r="M20" s="158">
        <v>1600</v>
      </c>
      <c r="N20" s="31"/>
      <c r="O20" s="158">
        <f t="shared" si="3"/>
        <v>700</v>
      </c>
      <c r="P20" s="31"/>
      <c r="Q20" s="158">
        <v>700</v>
      </c>
      <c r="R20" s="31"/>
      <c r="S20" s="158">
        <f t="shared" si="4"/>
        <v>1700</v>
      </c>
      <c r="T20" s="159">
        <v>1000</v>
      </c>
      <c r="U20" s="159">
        <v>700</v>
      </c>
      <c r="V20" s="159"/>
      <c r="W20" s="158">
        <f t="shared" si="5"/>
        <v>4242</v>
      </c>
      <c r="X20" s="158">
        <v>2642</v>
      </c>
      <c r="Y20" s="158">
        <v>1600</v>
      </c>
      <c r="Z20" s="158"/>
      <c r="AA20" s="212"/>
    </row>
    <row r="21" spans="1:27" ht="36" customHeight="1">
      <c r="A21" s="177" t="s">
        <v>400</v>
      </c>
      <c r="B21" s="73" t="s">
        <v>389</v>
      </c>
      <c r="C21" s="72" t="s">
        <v>364</v>
      </c>
      <c r="D21" s="211"/>
      <c r="E21" s="181" t="s">
        <v>393</v>
      </c>
      <c r="F21" s="68" t="s">
        <v>396</v>
      </c>
      <c r="G21" s="158">
        <v>3296</v>
      </c>
      <c r="H21" s="33"/>
      <c r="I21" s="33"/>
      <c r="J21" s="33"/>
      <c r="K21" s="158">
        <v>3069</v>
      </c>
      <c r="L21" s="33"/>
      <c r="M21" s="158">
        <v>2269</v>
      </c>
      <c r="N21" s="33"/>
      <c r="O21" s="158">
        <f t="shared" si="3"/>
        <v>1050</v>
      </c>
      <c r="P21" s="33"/>
      <c r="Q21" s="158">
        <v>1050</v>
      </c>
      <c r="R21" s="33"/>
      <c r="S21" s="158">
        <f t="shared" si="4"/>
        <v>800</v>
      </c>
      <c r="T21" s="158"/>
      <c r="U21" s="158">
        <v>800</v>
      </c>
      <c r="V21" s="158"/>
      <c r="W21" s="158">
        <f t="shared" si="5"/>
        <v>2269</v>
      </c>
      <c r="X21" s="33"/>
      <c r="Y21" s="158">
        <v>2269</v>
      </c>
      <c r="Z21" s="33"/>
      <c r="AA21" s="212"/>
    </row>
    <row r="22" spans="1:27" ht="23.25" customHeight="1">
      <c r="A22" s="177" t="s">
        <v>401</v>
      </c>
      <c r="B22" s="73" t="s">
        <v>390</v>
      </c>
      <c r="C22" s="72" t="s">
        <v>355</v>
      </c>
      <c r="D22" s="31"/>
      <c r="E22" s="181" t="s">
        <v>393</v>
      </c>
      <c r="F22" s="68" t="s">
        <v>397</v>
      </c>
      <c r="G22" s="158">
        <v>3808</v>
      </c>
      <c r="H22" s="31"/>
      <c r="I22" s="69"/>
      <c r="J22" s="31"/>
      <c r="K22" s="158">
        <v>3733</v>
      </c>
      <c r="L22" s="31"/>
      <c r="M22" s="158">
        <v>3233</v>
      </c>
      <c r="N22" s="31"/>
      <c r="O22" s="158">
        <f t="shared" si="3"/>
        <v>2750</v>
      </c>
      <c r="P22" s="31"/>
      <c r="Q22" s="158">
        <v>2750</v>
      </c>
      <c r="R22" s="31"/>
      <c r="S22" s="158">
        <f t="shared" si="4"/>
        <v>500</v>
      </c>
      <c r="T22" s="159"/>
      <c r="U22" s="158">
        <v>500</v>
      </c>
      <c r="V22" s="159"/>
      <c r="W22" s="158">
        <f t="shared" si="5"/>
        <v>3233</v>
      </c>
      <c r="X22" s="158"/>
      <c r="Y22" s="158">
        <v>3233</v>
      </c>
      <c r="Z22" s="158"/>
      <c r="AA22" s="212"/>
    </row>
    <row r="23" spans="1:27" ht="33.75" customHeight="1">
      <c r="A23" s="177" t="s">
        <v>402</v>
      </c>
      <c r="B23" s="73" t="s">
        <v>391</v>
      </c>
      <c r="C23" s="72" t="s">
        <v>365</v>
      </c>
      <c r="D23" s="31"/>
      <c r="E23" s="68" t="s">
        <v>394</v>
      </c>
      <c r="F23" s="181" t="s">
        <v>398</v>
      </c>
      <c r="G23" s="158">
        <v>3125</v>
      </c>
      <c r="H23" s="31"/>
      <c r="I23" s="69"/>
      <c r="J23" s="31"/>
      <c r="K23" s="158">
        <v>3060</v>
      </c>
      <c r="L23" s="31"/>
      <c r="M23" s="158">
        <v>2460</v>
      </c>
      <c r="N23" s="31"/>
      <c r="O23" s="158">
        <f t="shared" si="3"/>
        <v>1846</v>
      </c>
      <c r="P23" s="31"/>
      <c r="Q23" s="158">
        <v>1846</v>
      </c>
      <c r="R23" s="31"/>
      <c r="S23" s="158">
        <f t="shared" si="4"/>
        <v>600</v>
      </c>
      <c r="T23" s="159"/>
      <c r="U23" s="158">
        <v>600</v>
      </c>
      <c r="V23" s="159"/>
      <c r="W23" s="158">
        <f t="shared" si="5"/>
        <v>2460</v>
      </c>
      <c r="X23" s="158"/>
      <c r="Y23" s="158">
        <v>2460</v>
      </c>
      <c r="Z23" s="158"/>
      <c r="AA23" s="212"/>
    </row>
    <row r="24" spans="1:27" ht="34.5" customHeight="1">
      <c r="A24" s="177" t="s">
        <v>403</v>
      </c>
      <c r="B24" s="73" t="s">
        <v>388</v>
      </c>
      <c r="C24" s="72" t="s">
        <v>360</v>
      </c>
      <c r="D24" s="31"/>
      <c r="E24" s="68" t="s">
        <v>392</v>
      </c>
      <c r="F24" s="181" t="s">
        <v>395</v>
      </c>
      <c r="G24" s="158">
        <v>4139</v>
      </c>
      <c r="H24" s="158">
        <v>1642</v>
      </c>
      <c r="I24" s="69">
        <f>G24-H24</f>
        <v>2497</v>
      </c>
      <c r="J24" s="31"/>
      <c r="K24" s="158">
        <v>3942</v>
      </c>
      <c r="L24" s="158">
        <v>1642</v>
      </c>
      <c r="M24" s="158">
        <f>K24-L24</f>
        <v>2300</v>
      </c>
      <c r="N24" s="31"/>
      <c r="O24" s="158">
        <f t="shared" si="3"/>
        <v>700</v>
      </c>
      <c r="P24" s="31"/>
      <c r="Q24" s="158">
        <v>700</v>
      </c>
      <c r="R24" s="31"/>
      <c r="S24" s="158">
        <f t="shared" si="4"/>
        <v>1700</v>
      </c>
      <c r="T24" s="159">
        <v>1000</v>
      </c>
      <c r="U24" s="158">
        <v>700</v>
      </c>
      <c r="V24" s="159"/>
      <c r="W24" s="158">
        <f t="shared" si="5"/>
        <v>3942</v>
      </c>
      <c r="X24" s="158">
        <v>1642</v>
      </c>
      <c r="Y24" s="158">
        <v>2300</v>
      </c>
      <c r="Z24" s="158"/>
      <c r="AA24" s="212"/>
    </row>
    <row r="25" spans="1:27" ht="33.75" customHeight="1">
      <c r="A25" s="177" t="s">
        <v>404</v>
      </c>
      <c r="B25" s="73" t="s">
        <v>389</v>
      </c>
      <c r="C25" s="72" t="s">
        <v>364</v>
      </c>
      <c r="D25" s="31"/>
      <c r="E25" s="68" t="s">
        <v>393</v>
      </c>
      <c r="F25" s="181" t="s">
        <v>396</v>
      </c>
      <c r="G25" s="158">
        <v>3296</v>
      </c>
      <c r="H25" s="31"/>
      <c r="I25" s="69">
        <f>G25-H25</f>
        <v>3296</v>
      </c>
      <c r="J25" s="31"/>
      <c r="K25" s="158">
        <v>3069</v>
      </c>
      <c r="L25" s="31"/>
      <c r="M25" s="158">
        <f>K25-L25</f>
        <v>3069</v>
      </c>
      <c r="N25" s="31"/>
      <c r="O25" s="158">
        <f t="shared" si="3"/>
        <v>1050</v>
      </c>
      <c r="P25" s="31"/>
      <c r="Q25" s="158">
        <v>1050</v>
      </c>
      <c r="R25" s="31"/>
      <c r="S25" s="158">
        <f t="shared" si="4"/>
        <v>800</v>
      </c>
      <c r="T25" s="159"/>
      <c r="U25" s="158">
        <v>800</v>
      </c>
      <c r="V25" s="159"/>
      <c r="W25" s="158">
        <f t="shared" si="5"/>
        <v>3069</v>
      </c>
      <c r="X25" s="31"/>
      <c r="Y25" s="158">
        <v>3069</v>
      </c>
      <c r="Z25" s="31"/>
      <c r="AA25" s="212"/>
    </row>
    <row r="26" spans="1:27" s="156" customFormat="1" ht="31.5" customHeight="1">
      <c r="A26" s="153" t="s">
        <v>11</v>
      </c>
      <c r="B26" s="176" t="s">
        <v>406</v>
      </c>
      <c r="C26" s="154"/>
      <c r="D26" s="154"/>
      <c r="E26" s="154"/>
      <c r="F26" s="154"/>
      <c r="G26" s="155">
        <f aca="true" t="shared" si="6" ref="G26:Z26">SUM(G27:G50)</f>
        <v>195850</v>
      </c>
      <c r="H26" s="155">
        <f t="shared" si="6"/>
        <v>64311.589</v>
      </c>
      <c r="I26" s="155">
        <f t="shared" si="6"/>
        <v>128857.411</v>
      </c>
      <c r="J26" s="155">
        <f t="shared" si="6"/>
        <v>2681</v>
      </c>
      <c r="K26" s="155">
        <f t="shared" si="6"/>
        <v>129493</v>
      </c>
      <c r="L26" s="155">
        <f t="shared" si="6"/>
        <v>51759.589</v>
      </c>
      <c r="M26" s="155">
        <f t="shared" si="6"/>
        <v>75052.411</v>
      </c>
      <c r="N26" s="155">
        <f t="shared" si="6"/>
        <v>2681</v>
      </c>
      <c r="O26" s="155">
        <f t="shared" si="6"/>
        <v>49491</v>
      </c>
      <c r="P26" s="155">
        <f t="shared" si="6"/>
        <v>12305</v>
      </c>
      <c r="Q26" s="155">
        <f t="shared" si="6"/>
        <v>34686</v>
      </c>
      <c r="R26" s="155">
        <f t="shared" si="6"/>
        <v>2500</v>
      </c>
      <c r="S26" s="155">
        <f t="shared" si="6"/>
        <v>59323</v>
      </c>
      <c r="T26" s="155">
        <f t="shared" si="6"/>
        <v>31539</v>
      </c>
      <c r="U26" s="155">
        <f t="shared" si="6"/>
        <v>27603</v>
      </c>
      <c r="V26" s="155">
        <f t="shared" si="6"/>
        <v>181</v>
      </c>
      <c r="W26" s="155">
        <f t="shared" si="6"/>
        <v>77743</v>
      </c>
      <c r="X26" s="155">
        <f t="shared" si="6"/>
        <v>9168</v>
      </c>
      <c r="Y26" s="155">
        <f t="shared" si="6"/>
        <v>13216</v>
      </c>
      <c r="Z26" s="155">
        <f t="shared" si="6"/>
        <v>2681</v>
      </c>
      <c r="AA26" s="213"/>
    </row>
    <row r="27" spans="1:27" ht="38.25" customHeight="1">
      <c r="A27" s="177" t="s">
        <v>368</v>
      </c>
      <c r="B27" s="73" t="s">
        <v>407</v>
      </c>
      <c r="C27" s="72" t="s">
        <v>408</v>
      </c>
      <c r="D27" s="31"/>
      <c r="E27" s="68" t="s">
        <v>409</v>
      </c>
      <c r="F27" s="181" t="s">
        <v>410</v>
      </c>
      <c r="G27" s="158">
        <v>4871</v>
      </c>
      <c r="H27" s="158">
        <v>1978</v>
      </c>
      <c r="I27" s="158">
        <f>353+2540</f>
        <v>2893</v>
      </c>
      <c r="J27" s="158"/>
      <c r="K27" s="158">
        <v>4871</v>
      </c>
      <c r="L27" s="158">
        <v>1978</v>
      </c>
      <c r="M27" s="158">
        <f>353+2540</f>
        <v>2893</v>
      </c>
      <c r="N27" s="158"/>
      <c r="O27" s="158">
        <f aca="true" t="shared" si="7" ref="O27:O50">SUM(P27:R27)</f>
        <v>4518</v>
      </c>
      <c r="P27" s="158">
        <v>1978</v>
      </c>
      <c r="Q27" s="158">
        <v>2540</v>
      </c>
      <c r="R27" s="158"/>
      <c r="S27" s="158">
        <f aca="true" t="shared" si="8" ref="S27:S50">SUM(T27:V27)</f>
        <v>353</v>
      </c>
      <c r="T27" s="158"/>
      <c r="U27" s="158">
        <v>353</v>
      </c>
      <c r="V27" s="158"/>
      <c r="W27" s="158">
        <f t="shared" si="5"/>
        <v>4871</v>
      </c>
      <c r="X27" s="158">
        <v>1978</v>
      </c>
      <c r="Y27" s="158">
        <v>2893</v>
      </c>
      <c r="Z27" s="158"/>
      <c r="AA27" s="212"/>
    </row>
    <row r="28" spans="1:27" ht="39.75" customHeight="1">
      <c r="A28" s="177" t="s">
        <v>370</v>
      </c>
      <c r="B28" s="73" t="s">
        <v>411</v>
      </c>
      <c r="C28" s="72" t="s">
        <v>412</v>
      </c>
      <c r="D28" s="31"/>
      <c r="E28" s="68" t="s">
        <v>392</v>
      </c>
      <c r="F28" s="181" t="s">
        <v>416</v>
      </c>
      <c r="G28" s="158">
        <v>5915</v>
      </c>
      <c r="H28" s="158">
        <v>2559</v>
      </c>
      <c r="I28" s="158">
        <v>3356</v>
      </c>
      <c r="J28" s="158"/>
      <c r="K28" s="158">
        <v>5915</v>
      </c>
      <c r="L28" s="158">
        <v>2559</v>
      </c>
      <c r="M28" s="158">
        <v>3356</v>
      </c>
      <c r="N28" s="158"/>
      <c r="O28" s="158">
        <f t="shared" si="7"/>
        <v>2070</v>
      </c>
      <c r="P28" s="158">
        <v>300</v>
      </c>
      <c r="Q28" s="158">
        <v>1770</v>
      </c>
      <c r="R28" s="158"/>
      <c r="S28" s="158">
        <f t="shared" si="8"/>
        <v>3059</v>
      </c>
      <c r="T28" s="158">
        <v>2259</v>
      </c>
      <c r="U28" s="158">
        <v>800</v>
      </c>
      <c r="V28" s="158"/>
      <c r="W28" s="158">
        <f t="shared" si="5"/>
        <v>5915</v>
      </c>
      <c r="X28" s="158">
        <v>2559</v>
      </c>
      <c r="Y28" s="158">
        <v>3356</v>
      </c>
      <c r="Z28" s="158"/>
      <c r="AA28" s="212"/>
    </row>
    <row r="29" spans="1:27" ht="39.75" customHeight="1">
      <c r="A29" s="177" t="s">
        <v>372</v>
      </c>
      <c r="B29" s="73" t="s">
        <v>413</v>
      </c>
      <c r="C29" s="72" t="s">
        <v>355</v>
      </c>
      <c r="D29" s="31"/>
      <c r="E29" s="68" t="s">
        <v>392</v>
      </c>
      <c r="F29" s="181" t="s">
        <v>417</v>
      </c>
      <c r="G29" s="158">
        <v>4270</v>
      </c>
      <c r="H29" s="158">
        <v>1180</v>
      </c>
      <c r="I29" s="158">
        <v>3090</v>
      </c>
      <c r="J29" s="158"/>
      <c r="K29" s="158">
        <v>4270</v>
      </c>
      <c r="L29" s="158">
        <v>1180</v>
      </c>
      <c r="M29" s="158">
        <v>3090</v>
      </c>
      <c r="N29" s="158"/>
      <c r="O29" s="158">
        <f t="shared" si="7"/>
        <v>2127</v>
      </c>
      <c r="P29" s="158">
        <v>41</v>
      </c>
      <c r="Q29" s="158">
        <v>2086</v>
      </c>
      <c r="R29" s="158"/>
      <c r="S29" s="158">
        <f t="shared" si="8"/>
        <v>1639</v>
      </c>
      <c r="T29" s="158">
        <v>1139</v>
      </c>
      <c r="U29" s="158">
        <v>500</v>
      </c>
      <c r="V29" s="158"/>
      <c r="W29" s="158">
        <f t="shared" si="5"/>
        <v>4270</v>
      </c>
      <c r="X29" s="158">
        <v>1180</v>
      </c>
      <c r="Y29" s="158">
        <v>3090</v>
      </c>
      <c r="Z29" s="158"/>
      <c r="AA29" s="212"/>
    </row>
    <row r="30" spans="1:27" ht="39.75" customHeight="1">
      <c r="A30" s="177" t="s">
        <v>374</v>
      </c>
      <c r="B30" s="73" t="s">
        <v>414</v>
      </c>
      <c r="C30" s="72" t="s">
        <v>415</v>
      </c>
      <c r="D30" s="31"/>
      <c r="E30" s="68" t="s">
        <v>392</v>
      </c>
      <c r="F30" s="181" t="s">
        <v>418</v>
      </c>
      <c r="G30" s="158">
        <v>3744</v>
      </c>
      <c r="H30" s="158">
        <v>1001</v>
      </c>
      <c r="I30" s="158">
        <v>2743</v>
      </c>
      <c r="J30" s="158"/>
      <c r="K30" s="158">
        <v>3744</v>
      </c>
      <c r="L30" s="158">
        <v>1001</v>
      </c>
      <c r="M30" s="158">
        <v>2743</v>
      </c>
      <c r="N30" s="158"/>
      <c r="O30" s="158">
        <f t="shared" si="7"/>
        <v>1893</v>
      </c>
      <c r="P30" s="158"/>
      <c r="Q30" s="158">
        <v>1893</v>
      </c>
      <c r="R30" s="158"/>
      <c r="S30" s="158">
        <f t="shared" si="8"/>
        <v>1401</v>
      </c>
      <c r="T30" s="158">
        <v>1001</v>
      </c>
      <c r="U30" s="158">
        <v>400</v>
      </c>
      <c r="V30" s="158"/>
      <c r="W30" s="158">
        <f t="shared" si="5"/>
        <v>3744</v>
      </c>
      <c r="X30" s="158">
        <v>1001</v>
      </c>
      <c r="Y30" s="158">
        <v>2743</v>
      </c>
      <c r="Z30" s="158"/>
      <c r="AA30" s="212"/>
    </row>
    <row r="31" spans="1:27" ht="29.25" customHeight="1">
      <c r="A31" s="177" t="s">
        <v>376</v>
      </c>
      <c r="B31" s="73" t="s">
        <v>419</v>
      </c>
      <c r="C31" s="72" t="s">
        <v>420</v>
      </c>
      <c r="D31" s="31"/>
      <c r="E31" s="68" t="s">
        <v>421</v>
      </c>
      <c r="F31" s="181" t="s">
        <v>422</v>
      </c>
      <c r="G31" s="158">
        <v>6265</v>
      </c>
      <c r="H31" s="158">
        <v>2450</v>
      </c>
      <c r="I31" s="158">
        <f>1134</f>
        <v>1134</v>
      </c>
      <c r="J31" s="158">
        <f>2500+181</f>
        <v>2681</v>
      </c>
      <c r="K31" s="158">
        <v>6265</v>
      </c>
      <c r="L31" s="158">
        <v>2450</v>
      </c>
      <c r="M31" s="158">
        <v>1134</v>
      </c>
      <c r="N31" s="158">
        <v>2681</v>
      </c>
      <c r="O31" s="158">
        <f t="shared" si="7"/>
        <v>6084</v>
      </c>
      <c r="P31" s="158">
        <v>2450</v>
      </c>
      <c r="Q31" s="158">
        <v>1134</v>
      </c>
      <c r="R31" s="158">
        <v>2500</v>
      </c>
      <c r="S31" s="158">
        <f t="shared" si="8"/>
        <v>181</v>
      </c>
      <c r="T31" s="158"/>
      <c r="U31" s="158"/>
      <c r="V31" s="158">
        <v>181</v>
      </c>
      <c r="W31" s="158">
        <f t="shared" si="5"/>
        <v>6265</v>
      </c>
      <c r="X31" s="158">
        <v>2450</v>
      </c>
      <c r="Y31" s="158">
        <v>1134</v>
      </c>
      <c r="Z31" s="158">
        <v>2681</v>
      </c>
      <c r="AA31" s="212"/>
    </row>
    <row r="32" spans="1:27" ht="36" customHeight="1">
      <c r="A32" s="177" t="s">
        <v>399</v>
      </c>
      <c r="B32" s="73" t="s">
        <v>423</v>
      </c>
      <c r="C32" s="72" t="s">
        <v>362</v>
      </c>
      <c r="D32" s="31"/>
      <c r="E32" s="68" t="s">
        <v>409</v>
      </c>
      <c r="F32" s="181" t="s">
        <v>432</v>
      </c>
      <c r="G32" s="158">
        <v>9190</v>
      </c>
      <c r="H32" s="158">
        <v>3641</v>
      </c>
      <c r="I32" s="158">
        <f aca="true" t="shared" si="9" ref="I32:I42">G32-H32</f>
        <v>5549</v>
      </c>
      <c r="J32" s="158"/>
      <c r="K32" s="158">
        <v>8505</v>
      </c>
      <c r="L32" s="158">
        <v>3641</v>
      </c>
      <c r="M32" s="158">
        <v>4864</v>
      </c>
      <c r="N32" s="158"/>
      <c r="O32" s="158">
        <f t="shared" si="7"/>
        <v>2500</v>
      </c>
      <c r="P32" s="158">
        <v>0</v>
      </c>
      <c r="Q32" s="158">
        <v>2500</v>
      </c>
      <c r="R32" s="158"/>
      <c r="S32" s="158">
        <f t="shared" si="8"/>
        <v>2000</v>
      </c>
      <c r="T32" s="158">
        <v>1000</v>
      </c>
      <c r="U32" s="158">
        <v>1000</v>
      </c>
      <c r="V32" s="158"/>
      <c r="W32" s="158">
        <v>8350</v>
      </c>
      <c r="X32" s="31"/>
      <c r="Y32" s="31"/>
      <c r="Z32" s="31"/>
      <c r="AA32" s="212"/>
    </row>
    <row r="33" spans="1:27" ht="35.25" customHeight="1">
      <c r="A33" s="177" t="s">
        <v>400</v>
      </c>
      <c r="B33" s="73" t="s">
        <v>424</v>
      </c>
      <c r="C33" s="72" t="s">
        <v>363</v>
      </c>
      <c r="D33" s="31"/>
      <c r="E33" s="68" t="s">
        <v>409</v>
      </c>
      <c r="F33" s="181" t="s">
        <v>433</v>
      </c>
      <c r="G33" s="158">
        <v>4484</v>
      </c>
      <c r="H33" s="158">
        <v>1112</v>
      </c>
      <c r="I33" s="158">
        <f t="shared" si="9"/>
        <v>3372</v>
      </c>
      <c r="J33" s="158"/>
      <c r="K33" s="158">
        <v>4222</v>
      </c>
      <c r="L33" s="158">
        <v>1112</v>
      </c>
      <c r="M33" s="158">
        <v>3110</v>
      </c>
      <c r="N33" s="158"/>
      <c r="O33" s="158">
        <f t="shared" si="7"/>
        <v>1870</v>
      </c>
      <c r="P33" s="158">
        <v>0</v>
      </c>
      <c r="Q33" s="158">
        <v>1870</v>
      </c>
      <c r="R33" s="158"/>
      <c r="S33" s="158">
        <f t="shared" si="8"/>
        <v>1000</v>
      </c>
      <c r="T33" s="158">
        <v>500</v>
      </c>
      <c r="U33" s="158">
        <v>500</v>
      </c>
      <c r="V33" s="158"/>
      <c r="W33" s="158">
        <v>4182</v>
      </c>
      <c r="X33" s="31"/>
      <c r="Y33" s="31"/>
      <c r="Z33" s="31"/>
      <c r="AA33" s="212"/>
    </row>
    <row r="34" spans="1:27" ht="36" customHeight="1">
      <c r="A34" s="177" t="s">
        <v>401</v>
      </c>
      <c r="B34" s="73" t="s">
        <v>425</v>
      </c>
      <c r="C34" s="72" t="s">
        <v>357</v>
      </c>
      <c r="D34" s="31"/>
      <c r="E34" s="68" t="s">
        <v>409</v>
      </c>
      <c r="F34" s="181" t="s">
        <v>434</v>
      </c>
      <c r="G34" s="158">
        <v>8848</v>
      </c>
      <c r="H34" s="158">
        <v>2944</v>
      </c>
      <c r="I34" s="158">
        <f t="shared" si="9"/>
        <v>5904</v>
      </c>
      <c r="J34" s="158"/>
      <c r="K34" s="158">
        <v>8284</v>
      </c>
      <c r="L34" s="158">
        <v>2944</v>
      </c>
      <c r="M34" s="158">
        <v>5340</v>
      </c>
      <c r="N34" s="158"/>
      <c r="O34" s="158">
        <f t="shared" si="7"/>
        <v>5798</v>
      </c>
      <c r="P34" s="158">
        <v>2000</v>
      </c>
      <c r="Q34" s="158">
        <v>3798</v>
      </c>
      <c r="R34" s="158"/>
      <c r="S34" s="158">
        <f t="shared" si="8"/>
        <v>1844</v>
      </c>
      <c r="T34" s="158">
        <v>944</v>
      </c>
      <c r="U34" s="158">
        <v>900</v>
      </c>
      <c r="V34" s="158"/>
      <c r="W34" s="158">
        <v>7656</v>
      </c>
      <c r="X34" s="31"/>
      <c r="Y34" s="31"/>
      <c r="Z34" s="31"/>
      <c r="AA34" s="212"/>
    </row>
    <row r="35" spans="1:27" ht="39.75" customHeight="1">
      <c r="A35" s="177" t="s">
        <v>402</v>
      </c>
      <c r="B35" s="73" t="s">
        <v>426</v>
      </c>
      <c r="C35" s="72" t="s">
        <v>427</v>
      </c>
      <c r="D35" s="31"/>
      <c r="E35" s="68" t="s">
        <v>392</v>
      </c>
      <c r="F35" s="181" t="s">
        <v>435</v>
      </c>
      <c r="G35" s="158">
        <v>4058</v>
      </c>
      <c r="H35" s="158">
        <v>968</v>
      </c>
      <c r="I35" s="158">
        <f t="shared" si="9"/>
        <v>3090</v>
      </c>
      <c r="J35" s="158"/>
      <c r="K35" s="158">
        <v>3697</v>
      </c>
      <c r="L35" s="158">
        <f>968</f>
        <v>968</v>
      </c>
      <c r="M35" s="158">
        <v>2729</v>
      </c>
      <c r="N35" s="158"/>
      <c r="O35" s="158">
        <f t="shared" si="7"/>
        <v>1100</v>
      </c>
      <c r="P35" s="158">
        <v>0</v>
      </c>
      <c r="Q35" s="158">
        <v>1100</v>
      </c>
      <c r="R35" s="158"/>
      <c r="S35" s="158">
        <f t="shared" si="8"/>
        <v>1868</v>
      </c>
      <c r="T35" s="158">
        <v>968</v>
      </c>
      <c r="U35" s="158">
        <v>900</v>
      </c>
      <c r="V35" s="158"/>
      <c r="W35" s="158">
        <v>1803</v>
      </c>
      <c r="X35" s="31"/>
      <c r="Y35" s="31"/>
      <c r="Z35" s="31"/>
      <c r="AA35" s="212"/>
    </row>
    <row r="36" spans="1:27" ht="39.75" customHeight="1">
      <c r="A36" s="177" t="s">
        <v>403</v>
      </c>
      <c r="B36" s="73" t="s">
        <v>428</v>
      </c>
      <c r="C36" s="72" t="s">
        <v>355</v>
      </c>
      <c r="D36" s="31"/>
      <c r="E36" s="68" t="s">
        <v>392</v>
      </c>
      <c r="F36" s="181" t="s">
        <v>436</v>
      </c>
      <c r="G36" s="158">
        <v>6013</v>
      </c>
      <c r="H36" s="158">
        <v>2312.589</v>
      </c>
      <c r="I36" s="158">
        <f t="shared" si="9"/>
        <v>3700.411</v>
      </c>
      <c r="J36" s="158"/>
      <c r="K36" s="158">
        <v>5479</v>
      </c>
      <c r="L36" s="158">
        <v>2312.589</v>
      </c>
      <c r="M36" s="158">
        <v>3166.411</v>
      </c>
      <c r="N36" s="158"/>
      <c r="O36" s="158">
        <f t="shared" si="7"/>
        <v>1100</v>
      </c>
      <c r="P36" s="158">
        <v>0</v>
      </c>
      <c r="Q36" s="158">
        <v>1100</v>
      </c>
      <c r="R36" s="158"/>
      <c r="S36" s="158">
        <f t="shared" si="8"/>
        <v>2000</v>
      </c>
      <c r="T36" s="158">
        <v>1000</v>
      </c>
      <c r="U36" s="158">
        <v>1000</v>
      </c>
      <c r="V36" s="158"/>
      <c r="W36" s="158">
        <v>3180</v>
      </c>
      <c r="X36" s="31"/>
      <c r="Y36" s="31"/>
      <c r="Z36" s="31"/>
      <c r="AA36" s="212"/>
    </row>
    <row r="37" spans="1:27" ht="39.75" customHeight="1">
      <c r="A37" s="177" t="s">
        <v>404</v>
      </c>
      <c r="B37" s="73" t="s">
        <v>429</v>
      </c>
      <c r="C37" s="72" t="s">
        <v>430</v>
      </c>
      <c r="D37" s="31"/>
      <c r="E37" s="68" t="s">
        <v>392</v>
      </c>
      <c r="F37" s="181" t="s">
        <v>437</v>
      </c>
      <c r="G37" s="158">
        <v>4474</v>
      </c>
      <c r="H37" s="158">
        <v>1128</v>
      </c>
      <c r="I37" s="158">
        <f t="shared" si="9"/>
        <v>3346</v>
      </c>
      <c r="J37" s="158"/>
      <c r="K37" s="158">
        <v>4261</v>
      </c>
      <c r="L37" s="158">
        <v>1128</v>
      </c>
      <c r="M37" s="158">
        <v>3133</v>
      </c>
      <c r="N37" s="158"/>
      <c r="O37" s="158">
        <f t="shared" si="7"/>
        <v>1100</v>
      </c>
      <c r="P37" s="158">
        <v>0</v>
      </c>
      <c r="Q37" s="158">
        <v>1100</v>
      </c>
      <c r="R37" s="158"/>
      <c r="S37" s="158">
        <f t="shared" si="8"/>
        <v>2128</v>
      </c>
      <c r="T37" s="158">
        <v>1128</v>
      </c>
      <c r="U37" s="158">
        <v>1000</v>
      </c>
      <c r="V37" s="158"/>
      <c r="W37" s="158">
        <v>4170</v>
      </c>
      <c r="X37" s="31"/>
      <c r="Y37" s="31"/>
      <c r="Z37" s="31"/>
      <c r="AA37" s="212"/>
    </row>
    <row r="38" spans="1:27" ht="53.25" customHeight="1">
      <c r="A38" s="177" t="s">
        <v>405</v>
      </c>
      <c r="B38" s="73" t="s">
        <v>431</v>
      </c>
      <c r="C38" s="72" t="s">
        <v>353</v>
      </c>
      <c r="D38" s="31"/>
      <c r="E38" s="68" t="s">
        <v>392</v>
      </c>
      <c r="F38" s="181" t="s">
        <v>438</v>
      </c>
      <c r="G38" s="158">
        <v>7322</v>
      </c>
      <c r="H38" s="158">
        <v>1368</v>
      </c>
      <c r="I38" s="158">
        <f t="shared" si="9"/>
        <v>5954</v>
      </c>
      <c r="J38" s="158"/>
      <c r="K38" s="158">
        <v>6734</v>
      </c>
      <c r="L38" s="158">
        <v>1368</v>
      </c>
      <c r="M38" s="158">
        <v>5366</v>
      </c>
      <c r="N38" s="158"/>
      <c r="O38" s="158">
        <f t="shared" si="7"/>
        <v>2763</v>
      </c>
      <c r="P38" s="158">
        <v>0</v>
      </c>
      <c r="Q38" s="158">
        <v>2763</v>
      </c>
      <c r="R38" s="158"/>
      <c r="S38" s="158">
        <f t="shared" si="8"/>
        <v>2100</v>
      </c>
      <c r="T38" s="158">
        <v>1000</v>
      </c>
      <c r="U38" s="158">
        <v>1100</v>
      </c>
      <c r="V38" s="158"/>
      <c r="W38" s="158">
        <v>3327</v>
      </c>
      <c r="X38" s="31"/>
      <c r="Y38" s="31"/>
      <c r="Z38" s="31"/>
      <c r="AA38" s="212"/>
    </row>
    <row r="39" spans="1:27" ht="39.75" customHeight="1">
      <c r="A39" s="177" t="s">
        <v>460</v>
      </c>
      <c r="B39" s="73" t="s">
        <v>439</v>
      </c>
      <c r="C39" s="72" t="s">
        <v>440</v>
      </c>
      <c r="D39" s="31"/>
      <c r="E39" s="68" t="s">
        <v>392</v>
      </c>
      <c r="F39" s="181" t="s">
        <v>444</v>
      </c>
      <c r="G39" s="158">
        <v>9431</v>
      </c>
      <c r="H39" s="158">
        <v>4050</v>
      </c>
      <c r="I39" s="158">
        <f t="shared" si="9"/>
        <v>5381</v>
      </c>
      <c r="J39" s="158"/>
      <c r="K39" s="158">
        <f aca="true" t="shared" si="10" ref="K39:K50">SUM(L39:N39)</f>
        <v>9207</v>
      </c>
      <c r="L39" s="158">
        <v>4050</v>
      </c>
      <c r="M39" s="158">
        <v>5157</v>
      </c>
      <c r="N39" s="158">
        <v>0</v>
      </c>
      <c r="O39" s="158">
        <f t="shared" si="7"/>
        <v>6120</v>
      </c>
      <c r="P39" s="158">
        <v>2350</v>
      </c>
      <c r="Q39" s="158">
        <v>3770</v>
      </c>
      <c r="R39" s="158"/>
      <c r="S39" s="158">
        <f t="shared" si="8"/>
        <v>1600</v>
      </c>
      <c r="T39" s="158">
        <v>1100</v>
      </c>
      <c r="U39" s="158">
        <v>500</v>
      </c>
      <c r="V39" s="158"/>
      <c r="W39" s="158">
        <v>5284</v>
      </c>
      <c r="X39" s="31"/>
      <c r="Y39" s="31"/>
      <c r="Z39" s="31"/>
      <c r="AA39" s="212"/>
    </row>
    <row r="40" spans="1:27" ht="39.75" customHeight="1">
      <c r="A40" s="177" t="s">
        <v>461</v>
      </c>
      <c r="B40" s="73" t="s">
        <v>441</v>
      </c>
      <c r="C40" s="72" t="s">
        <v>352</v>
      </c>
      <c r="D40" s="31"/>
      <c r="E40" s="68" t="s">
        <v>392</v>
      </c>
      <c r="F40" s="181" t="s">
        <v>445</v>
      </c>
      <c r="G40" s="158">
        <v>7675</v>
      </c>
      <c r="H40" s="158">
        <v>4286</v>
      </c>
      <c r="I40" s="158">
        <f t="shared" si="9"/>
        <v>3389</v>
      </c>
      <c r="J40" s="158"/>
      <c r="K40" s="158">
        <f t="shared" si="10"/>
        <v>7544</v>
      </c>
      <c r="L40" s="158">
        <v>4286</v>
      </c>
      <c r="M40" s="158">
        <v>3258</v>
      </c>
      <c r="N40" s="158">
        <v>0</v>
      </c>
      <c r="O40" s="158">
        <f t="shared" si="7"/>
        <v>5318</v>
      </c>
      <c r="P40" s="158">
        <v>3186</v>
      </c>
      <c r="Q40" s="158">
        <v>2132</v>
      </c>
      <c r="R40" s="158"/>
      <c r="S40" s="158">
        <f t="shared" si="8"/>
        <v>1200</v>
      </c>
      <c r="T40" s="158">
        <v>800</v>
      </c>
      <c r="U40" s="158">
        <v>400</v>
      </c>
      <c r="V40" s="158"/>
      <c r="W40" s="158">
        <v>4957</v>
      </c>
      <c r="X40" s="31"/>
      <c r="Y40" s="31"/>
      <c r="Z40" s="31"/>
      <c r="AA40" s="212"/>
    </row>
    <row r="41" spans="1:27" ht="39.75" customHeight="1">
      <c r="A41" s="177" t="s">
        <v>462</v>
      </c>
      <c r="B41" s="73" t="s">
        <v>442</v>
      </c>
      <c r="C41" s="72" t="s">
        <v>350</v>
      </c>
      <c r="D41" s="31"/>
      <c r="E41" s="68" t="s">
        <v>392</v>
      </c>
      <c r="F41" s="181" t="s">
        <v>446</v>
      </c>
      <c r="G41" s="158">
        <v>9937</v>
      </c>
      <c r="H41" s="158">
        <v>3239</v>
      </c>
      <c r="I41" s="158">
        <f t="shared" si="9"/>
        <v>6698</v>
      </c>
      <c r="J41" s="158"/>
      <c r="K41" s="158">
        <f t="shared" si="10"/>
        <v>9118</v>
      </c>
      <c r="L41" s="158">
        <v>3239</v>
      </c>
      <c r="M41" s="158">
        <v>5879</v>
      </c>
      <c r="N41" s="158">
        <v>0</v>
      </c>
      <c r="O41" s="158">
        <f t="shared" si="7"/>
        <v>3478</v>
      </c>
      <c r="P41" s="158">
        <v>0</v>
      </c>
      <c r="Q41" s="158">
        <v>3478</v>
      </c>
      <c r="R41" s="158"/>
      <c r="S41" s="158">
        <f t="shared" si="8"/>
        <v>2500</v>
      </c>
      <c r="T41" s="158">
        <v>1500</v>
      </c>
      <c r="U41" s="158">
        <v>1000</v>
      </c>
      <c r="V41" s="158"/>
      <c r="W41" s="158">
        <v>5841</v>
      </c>
      <c r="X41" s="31"/>
      <c r="Y41" s="31"/>
      <c r="Z41" s="31"/>
      <c r="AA41" s="212"/>
    </row>
    <row r="42" spans="1:27" ht="39.75" customHeight="1">
      <c r="A42" s="177" t="s">
        <v>463</v>
      </c>
      <c r="B42" s="73" t="s">
        <v>443</v>
      </c>
      <c r="C42" s="72" t="s">
        <v>364</v>
      </c>
      <c r="D42" s="31"/>
      <c r="E42" s="68" t="s">
        <v>447</v>
      </c>
      <c r="F42" s="181" t="s">
        <v>448</v>
      </c>
      <c r="G42" s="158">
        <v>4719</v>
      </c>
      <c r="H42" s="158">
        <v>1143</v>
      </c>
      <c r="I42" s="158">
        <f t="shared" si="9"/>
        <v>3576</v>
      </c>
      <c r="J42" s="158"/>
      <c r="K42" s="158">
        <f t="shared" si="10"/>
        <v>4327</v>
      </c>
      <c r="L42" s="158">
        <v>1143</v>
      </c>
      <c r="M42" s="158">
        <v>3184</v>
      </c>
      <c r="N42" s="158">
        <v>0</v>
      </c>
      <c r="O42" s="158">
        <f t="shared" si="7"/>
        <v>1652</v>
      </c>
      <c r="P42" s="158">
        <v>0</v>
      </c>
      <c r="Q42" s="158">
        <v>1652</v>
      </c>
      <c r="R42" s="158"/>
      <c r="S42" s="158">
        <f t="shared" si="8"/>
        <v>1400</v>
      </c>
      <c r="T42" s="158">
        <v>800</v>
      </c>
      <c r="U42" s="158">
        <v>600</v>
      </c>
      <c r="V42" s="158"/>
      <c r="W42" s="158">
        <v>1667</v>
      </c>
      <c r="X42" s="31"/>
      <c r="Y42" s="31"/>
      <c r="Z42" s="31"/>
      <c r="AA42" s="212"/>
    </row>
    <row r="43" spans="1:27" ht="39" customHeight="1">
      <c r="A43" s="177" t="s">
        <v>464</v>
      </c>
      <c r="B43" s="73" t="s">
        <v>449</v>
      </c>
      <c r="C43" s="72" t="s">
        <v>363</v>
      </c>
      <c r="D43" s="31"/>
      <c r="E43" s="68"/>
      <c r="F43" s="181"/>
      <c r="G43" s="158">
        <f aca="true" t="shared" si="11" ref="G43:G50">SUM(H43:J43)</f>
        <v>7968</v>
      </c>
      <c r="H43" s="158">
        <v>2578</v>
      </c>
      <c r="I43" s="158">
        <v>5390</v>
      </c>
      <c r="J43" s="158"/>
      <c r="K43" s="158">
        <f t="shared" si="10"/>
        <v>2850</v>
      </c>
      <c r="L43" s="158">
        <v>1500</v>
      </c>
      <c r="M43" s="158">
        <v>1350</v>
      </c>
      <c r="N43" s="158"/>
      <c r="O43" s="158">
        <f t="shared" si="7"/>
        <v>0</v>
      </c>
      <c r="P43" s="158"/>
      <c r="Q43" s="158"/>
      <c r="R43" s="158"/>
      <c r="S43" s="158">
        <f t="shared" si="8"/>
        <v>2850</v>
      </c>
      <c r="T43" s="158">
        <v>1500</v>
      </c>
      <c r="U43" s="158">
        <v>1350</v>
      </c>
      <c r="V43" s="158"/>
      <c r="W43" s="158">
        <f t="shared" si="5"/>
        <v>0</v>
      </c>
      <c r="X43" s="31"/>
      <c r="Y43" s="31"/>
      <c r="Z43" s="31"/>
      <c r="AA43" s="212"/>
    </row>
    <row r="44" spans="1:27" ht="49.5" customHeight="1">
      <c r="A44" s="177" t="s">
        <v>465</v>
      </c>
      <c r="B44" s="73" t="s">
        <v>450</v>
      </c>
      <c r="C44" s="72" t="s">
        <v>359</v>
      </c>
      <c r="D44" s="31"/>
      <c r="E44" s="68"/>
      <c r="F44" s="181"/>
      <c r="G44" s="158">
        <f t="shared" si="11"/>
        <v>9998</v>
      </c>
      <c r="H44" s="158">
        <v>3253</v>
      </c>
      <c r="I44" s="158">
        <v>6745</v>
      </c>
      <c r="J44" s="158"/>
      <c r="K44" s="158">
        <f t="shared" si="10"/>
        <v>3500</v>
      </c>
      <c r="L44" s="158">
        <v>1800</v>
      </c>
      <c r="M44" s="158">
        <v>1700</v>
      </c>
      <c r="N44" s="158"/>
      <c r="O44" s="158">
        <f t="shared" si="7"/>
        <v>0</v>
      </c>
      <c r="P44" s="158"/>
      <c r="Q44" s="158"/>
      <c r="R44" s="158"/>
      <c r="S44" s="158">
        <f t="shared" si="8"/>
        <v>3500</v>
      </c>
      <c r="T44" s="158">
        <v>1800</v>
      </c>
      <c r="U44" s="158">
        <v>1700</v>
      </c>
      <c r="V44" s="158"/>
      <c r="W44" s="158">
        <v>431</v>
      </c>
      <c r="X44" s="31"/>
      <c r="Y44" s="31"/>
      <c r="Z44" s="31"/>
      <c r="AA44" s="212"/>
    </row>
    <row r="45" spans="1:27" ht="48" customHeight="1">
      <c r="A45" s="177" t="s">
        <v>466</v>
      </c>
      <c r="B45" s="73" t="s">
        <v>451</v>
      </c>
      <c r="C45" s="72" t="s">
        <v>356</v>
      </c>
      <c r="D45" s="31"/>
      <c r="E45" s="68"/>
      <c r="F45" s="181"/>
      <c r="G45" s="158">
        <f t="shared" si="11"/>
        <v>9462</v>
      </c>
      <c r="H45" s="158">
        <v>3488</v>
      </c>
      <c r="I45" s="158">
        <v>5974</v>
      </c>
      <c r="J45" s="158"/>
      <c r="K45" s="158">
        <f t="shared" si="10"/>
        <v>3300</v>
      </c>
      <c r="L45" s="158">
        <v>1800</v>
      </c>
      <c r="M45" s="158">
        <v>1500</v>
      </c>
      <c r="N45" s="158"/>
      <c r="O45" s="158">
        <f t="shared" si="7"/>
        <v>0</v>
      </c>
      <c r="P45" s="158"/>
      <c r="Q45" s="158"/>
      <c r="R45" s="158"/>
      <c r="S45" s="158">
        <f t="shared" si="8"/>
        <v>3300</v>
      </c>
      <c r="T45" s="158">
        <v>1800</v>
      </c>
      <c r="U45" s="158">
        <v>1500</v>
      </c>
      <c r="V45" s="158"/>
      <c r="W45" s="158">
        <v>394</v>
      </c>
      <c r="X45" s="31"/>
      <c r="Y45" s="31"/>
      <c r="Z45" s="31"/>
      <c r="AA45" s="212"/>
    </row>
    <row r="46" spans="1:27" ht="50.25" customHeight="1">
      <c r="A46" s="177" t="s">
        <v>467</v>
      </c>
      <c r="B46" s="73" t="s">
        <v>452</v>
      </c>
      <c r="C46" s="72" t="s">
        <v>457</v>
      </c>
      <c r="D46" s="31"/>
      <c r="E46" s="68"/>
      <c r="F46" s="181"/>
      <c r="G46" s="158">
        <f t="shared" si="11"/>
        <v>12860</v>
      </c>
      <c r="H46" s="158">
        <v>3536</v>
      </c>
      <c r="I46" s="158">
        <v>9324</v>
      </c>
      <c r="J46" s="158"/>
      <c r="K46" s="158">
        <f t="shared" si="10"/>
        <v>4500</v>
      </c>
      <c r="L46" s="158">
        <v>2200</v>
      </c>
      <c r="M46" s="158">
        <v>2300</v>
      </c>
      <c r="N46" s="158"/>
      <c r="O46" s="158">
        <f t="shared" si="7"/>
        <v>0</v>
      </c>
      <c r="P46" s="158"/>
      <c r="Q46" s="158"/>
      <c r="R46" s="158"/>
      <c r="S46" s="158">
        <f t="shared" si="8"/>
        <v>4500</v>
      </c>
      <c r="T46" s="158">
        <v>2200</v>
      </c>
      <c r="U46" s="158">
        <v>2300</v>
      </c>
      <c r="V46" s="158"/>
      <c r="W46" s="158">
        <v>463</v>
      </c>
      <c r="X46" s="31"/>
      <c r="Y46" s="31"/>
      <c r="Z46" s="31"/>
      <c r="AA46" s="212"/>
    </row>
    <row r="47" spans="1:27" ht="42" customHeight="1">
      <c r="A47" s="177" t="s">
        <v>468</v>
      </c>
      <c r="B47" s="73" t="s">
        <v>453</v>
      </c>
      <c r="C47" s="72" t="s">
        <v>353</v>
      </c>
      <c r="D47" s="31"/>
      <c r="E47" s="68"/>
      <c r="F47" s="181"/>
      <c r="G47" s="158">
        <f t="shared" si="11"/>
        <v>13470</v>
      </c>
      <c r="H47" s="158">
        <v>4014</v>
      </c>
      <c r="I47" s="158">
        <v>9456</v>
      </c>
      <c r="J47" s="158"/>
      <c r="K47" s="158">
        <f t="shared" si="10"/>
        <v>4700</v>
      </c>
      <c r="L47" s="158">
        <v>2300</v>
      </c>
      <c r="M47" s="158">
        <v>2400</v>
      </c>
      <c r="N47" s="158"/>
      <c r="O47" s="158">
        <f t="shared" si="7"/>
        <v>0</v>
      </c>
      <c r="P47" s="158"/>
      <c r="Q47" s="158"/>
      <c r="R47" s="158"/>
      <c r="S47" s="158">
        <f t="shared" si="8"/>
        <v>4700</v>
      </c>
      <c r="T47" s="158">
        <v>2300</v>
      </c>
      <c r="U47" s="158">
        <v>2400</v>
      </c>
      <c r="V47" s="158"/>
      <c r="W47" s="158">
        <v>492</v>
      </c>
      <c r="X47" s="31"/>
      <c r="Y47" s="31"/>
      <c r="Z47" s="31"/>
      <c r="AA47" s="212"/>
    </row>
    <row r="48" spans="1:27" ht="36.75" customHeight="1">
      <c r="A48" s="177" t="s">
        <v>469</v>
      </c>
      <c r="B48" s="73" t="s">
        <v>454</v>
      </c>
      <c r="C48" s="72" t="s">
        <v>458</v>
      </c>
      <c r="D48" s="31"/>
      <c r="E48" s="68"/>
      <c r="F48" s="181"/>
      <c r="G48" s="158">
        <f t="shared" si="11"/>
        <v>12941</v>
      </c>
      <c r="H48" s="158">
        <v>3154</v>
      </c>
      <c r="I48" s="158">
        <v>9787</v>
      </c>
      <c r="J48" s="158"/>
      <c r="K48" s="158">
        <f t="shared" si="10"/>
        <v>4500</v>
      </c>
      <c r="L48" s="158">
        <v>2000</v>
      </c>
      <c r="M48" s="158">
        <v>2500</v>
      </c>
      <c r="N48" s="158"/>
      <c r="O48" s="158">
        <f t="shared" si="7"/>
        <v>0</v>
      </c>
      <c r="P48" s="158"/>
      <c r="Q48" s="158"/>
      <c r="R48" s="158"/>
      <c r="S48" s="158">
        <f t="shared" si="8"/>
        <v>4500</v>
      </c>
      <c r="T48" s="158">
        <v>2000</v>
      </c>
      <c r="U48" s="158">
        <v>2500</v>
      </c>
      <c r="V48" s="158"/>
      <c r="W48" s="158">
        <f t="shared" si="5"/>
        <v>0</v>
      </c>
      <c r="X48" s="31"/>
      <c r="Y48" s="31"/>
      <c r="Z48" s="31"/>
      <c r="AA48" s="212"/>
    </row>
    <row r="49" spans="1:27" ht="36" customHeight="1">
      <c r="A49" s="177" t="s">
        <v>470</v>
      </c>
      <c r="B49" s="73" t="s">
        <v>455</v>
      </c>
      <c r="C49" s="72" t="s">
        <v>365</v>
      </c>
      <c r="D49" s="31"/>
      <c r="E49" s="68"/>
      <c r="F49" s="181"/>
      <c r="G49" s="158">
        <f t="shared" si="11"/>
        <v>14995</v>
      </c>
      <c r="H49" s="158">
        <v>5492</v>
      </c>
      <c r="I49" s="158">
        <v>9503</v>
      </c>
      <c r="J49" s="158"/>
      <c r="K49" s="158">
        <f t="shared" si="10"/>
        <v>5200</v>
      </c>
      <c r="L49" s="158">
        <v>2800</v>
      </c>
      <c r="M49" s="158">
        <v>2400</v>
      </c>
      <c r="N49" s="158"/>
      <c r="O49" s="158">
        <f t="shared" si="7"/>
        <v>0</v>
      </c>
      <c r="P49" s="158"/>
      <c r="Q49" s="158"/>
      <c r="R49" s="158"/>
      <c r="S49" s="158">
        <f t="shared" si="8"/>
        <v>5200</v>
      </c>
      <c r="T49" s="158">
        <v>2800</v>
      </c>
      <c r="U49" s="158">
        <v>2400</v>
      </c>
      <c r="V49" s="158"/>
      <c r="W49" s="158">
        <f t="shared" si="5"/>
        <v>0</v>
      </c>
      <c r="X49" s="31"/>
      <c r="Y49" s="31"/>
      <c r="Z49" s="31"/>
      <c r="AA49" s="212"/>
    </row>
    <row r="50" spans="1:27" ht="51" customHeight="1">
      <c r="A50" s="177" t="s">
        <v>471</v>
      </c>
      <c r="B50" s="73" t="s">
        <v>456</v>
      </c>
      <c r="C50" s="72" t="s">
        <v>362</v>
      </c>
      <c r="D50" s="31"/>
      <c r="E50" s="68"/>
      <c r="F50" s="181"/>
      <c r="G50" s="158">
        <f t="shared" si="11"/>
        <v>12940</v>
      </c>
      <c r="H50" s="158">
        <v>3437</v>
      </c>
      <c r="I50" s="158">
        <v>9503</v>
      </c>
      <c r="J50" s="158"/>
      <c r="K50" s="158">
        <f t="shared" si="10"/>
        <v>4500</v>
      </c>
      <c r="L50" s="158">
        <v>2000</v>
      </c>
      <c r="M50" s="158">
        <v>2500</v>
      </c>
      <c r="N50" s="158"/>
      <c r="O50" s="158">
        <f t="shared" si="7"/>
        <v>0</v>
      </c>
      <c r="P50" s="158"/>
      <c r="Q50" s="158"/>
      <c r="R50" s="158"/>
      <c r="S50" s="158">
        <f t="shared" si="8"/>
        <v>4500</v>
      </c>
      <c r="T50" s="158">
        <v>2000</v>
      </c>
      <c r="U50" s="158">
        <v>2500</v>
      </c>
      <c r="V50" s="158"/>
      <c r="W50" s="158">
        <v>481</v>
      </c>
      <c r="X50" s="31"/>
      <c r="Y50" s="31"/>
      <c r="Z50" s="31"/>
      <c r="AA50" s="212"/>
    </row>
    <row r="51" spans="1:27" ht="23.25" customHeight="1">
      <c r="A51" s="210" t="s">
        <v>7</v>
      </c>
      <c r="B51" s="14" t="s">
        <v>459</v>
      </c>
      <c r="C51" s="72"/>
      <c r="D51" s="31"/>
      <c r="E51" s="72"/>
      <c r="F51" s="72"/>
      <c r="G51" s="71">
        <f>G52+G136+G163+G166</f>
        <v>2158190.131</v>
      </c>
      <c r="H51" s="71">
        <f aca="true" t="shared" si="12" ref="H51:N51">H52+H136+H163+H166</f>
        <v>742265</v>
      </c>
      <c r="I51" s="71">
        <f t="shared" si="12"/>
        <v>1352970.131</v>
      </c>
      <c r="J51" s="71">
        <f t="shared" si="12"/>
        <v>62955</v>
      </c>
      <c r="K51" s="71">
        <f t="shared" si="12"/>
        <v>1976988.158</v>
      </c>
      <c r="L51" s="71">
        <f t="shared" si="12"/>
        <v>742265</v>
      </c>
      <c r="M51" s="71">
        <f t="shared" si="12"/>
        <v>1171768.408</v>
      </c>
      <c r="N51" s="71">
        <f t="shared" si="12"/>
        <v>62955</v>
      </c>
      <c r="O51" s="71">
        <f aca="true" t="shared" si="13" ref="O51:Z51">O52+O136+O163+O166</f>
        <v>1059299.935</v>
      </c>
      <c r="P51" s="71">
        <f t="shared" si="13"/>
        <v>540608</v>
      </c>
      <c r="Q51" s="71">
        <f t="shared" si="13"/>
        <v>473989.935</v>
      </c>
      <c r="R51" s="71">
        <f t="shared" si="13"/>
        <v>44702</v>
      </c>
      <c r="S51" s="71">
        <f t="shared" si="13"/>
        <v>230550</v>
      </c>
      <c r="T51" s="71">
        <f t="shared" si="13"/>
        <v>56563</v>
      </c>
      <c r="U51" s="71">
        <f t="shared" si="13"/>
        <v>159293</v>
      </c>
      <c r="V51" s="71">
        <f t="shared" si="13"/>
        <v>14694</v>
      </c>
      <c r="W51" s="71">
        <f t="shared" si="13"/>
        <v>1047016</v>
      </c>
      <c r="X51" s="71">
        <f t="shared" si="13"/>
        <v>202979</v>
      </c>
      <c r="Y51" s="71">
        <f t="shared" si="13"/>
        <v>344517</v>
      </c>
      <c r="Z51" s="71">
        <f t="shared" si="13"/>
        <v>32959</v>
      </c>
      <c r="AA51" s="212"/>
    </row>
    <row r="52" spans="1:27" s="156" customFormat="1" ht="31.5" customHeight="1">
      <c r="A52" s="153" t="s">
        <v>8</v>
      </c>
      <c r="B52" s="176" t="s">
        <v>406</v>
      </c>
      <c r="C52" s="154"/>
      <c r="D52" s="154"/>
      <c r="E52" s="154"/>
      <c r="F52" s="154"/>
      <c r="G52" s="155">
        <f aca="true" t="shared" si="14" ref="G52:N52">SUM(G53:G79)+SUM(G82:G135)</f>
        <v>2099103.131</v>
      </c>
      <c r="H52" s="155">
        <f t="shared" si="14"/>
        <v>742126</v>
      </c>
      <c r="I52" s="155">
        <f t="shared" si="14"/>
        <v>1294022.131</v>
      </c>
      <c r="J52" s="155">
        <f t="shared" si="14"/>
        <v>62955</v>
      </c>
      <c r="K52" s="155">
        <f t="shared" si="14"/>
        <v>1934398.158</v>
      </c>
      <c r="L52" s="155">
        <f t="shared" si="14"/>
        <v>742126</v>
      </c>
      <c r="M52" s="155">
        <f t="shared" si="14"/>
        <v>1129317.408</v>
      </c>
      <c r="N52" s="155">
        <f t="shared" si="14"/>
        <v>62955</v>
      </c>
      <c r="O52" s="155">
        <f aca="true" t="shared" si="15" ref="O52:Z52">SUM(O53:O79)+SUM(O82:O135)</f>
        <v>1043940.935</v>
      </c>
      <c r="P52" s="155">
        <f t="shared" si="15"/>
        <v>540469</v>
      </c>
      <c r="Q52" s="155">
        <f t="shared" si="15"/>
        <v>458769.935</v>
      </c>
      <c r="R52" s="155">
        <f t="shared" si="15"/>
        <v>44702</v>
      </c>
      <c r="S52" s="155">
        <f t="shared" si="15"/>
        <v>214605</v>
      </c>
      <c r="T52" s="155">
        <f t="shared" si="15"/>
        <v>56563</v>
      </c>
      <c r="U52" s="155">
        <f t="shared" si="15"/>
        <v>143348</v>
      </c>
      <c r="V52" s="155">
        <f t="shared" si="15"/>
        <v>14694</v>
      </c>
      <c r="W52" s="155">
        <f t="shared" si="15"/>
        <v>1016176</v>
      </c>
      <c r="X52" s="155">
        <f t="shared" si="15"/>
        <v>202840</v>
      </c>
      <c r="Y52" s="155">
        <f t="shared" si="15"/>
        <v>313816</v>
      </c>
      <c r="Z52" s="155">
        <f t="shared" si="15"/>
        <v>32959</v>
      </c>
      <c r="AA52" s="213"/>
    </row>
    <row r="53" spans="1:27" ht="28.5" customHeight="1">
      <c r="A53" s="177" t="s">
        <v>368</v>
      </c>
      <c r="B53" s="73" t="s">
        <v>472</v>
      </c>
      <c r="C53" s="72" t="s">
        <v>473</v>
      </c>
      <c r="D53" s="31"/>
      <c r="E53" s="68" t="s">
        <v>476</v>
      </c>
      <c r="F53" s="181" t="s">
        <v>477</v>
      </c>
      <c r="G53" s="158">
        <v>5071</v>
      </c>
      <c r="H53" s="158">
        <v>4580</v>
      </c>
      <c r="I53" s="158">
        <v>491</v>
      </c>
      <c r="J53" s="158"/>
      <c r="K53" s="158">
        <v>5071</v>
      </c>
      <c r="L53" s="158">
        <v>4580</v>
      </c>
      <c r="M53" s="158">
        <v>491</v>
      </c>
      <c r="N53" s="158"/>
      <c r="O53" s="158">
        <f aca="true" t="shared" si="16" ref="O53:O84">SUM(P53:R53)</f>
        <v>4580</v>
      </c>
      <c r="P53" s="158">
        <v>4580</v>
      </c>
      <c r="Q53" s="158"/>
      <c r="R53" s="158"/>
      <c r="S53" s="158">
        <f aca="true" t="shared" si="17" ref="S53:S84">SUM(T53:V53)</f>
        <v>491</v>
      </c>
      <c r="T53" s="158"/>
      <c r="U53" s="158">
        <v>491</v>
      </c>
      <c r="V53" s="158"/>
      <c r="W53" s="158">
        <f t="shared" si="5"/>
        <v>5071</v>
      </c>
      <c r="X53" s="158">
        <v>4580</v>
      </c>
      <c r="Y53" s="158">
        <v>491</v>
      </c>
      <c r="Z53" s="158"/>
      <c r="AA53" s="212"/>
    </row>
    <row r="54" spans="1:27" ht="33.75" customHeight="1">
      <c r="A54" s="177" t="s">
        <v>370</v>
      </c>
      <c r="B54" s="73" t="s">
        <v>474</v>
      </c>
      <c r="C54" s="72" t="s">
        <v>475</v>
      </c>
      <c r="D54" s="31"/>
      <c r="E54" s="68" t="s">
        <v>478</v>
      </c>
      <c r="F54" s="181" t="s">
        <v>479</v>
      </c>
      <c r="G54" s="158">
        <v>3718</v>
      </c>
      <c r="H54" s="158">
        <v>1219</v>
      </c>
      <c r="I54" s="158">
        <v>2499</v>
      </c>
      <c r="J54" s="158"/>
      <c r="K54" s="158">
        <v>3717</v>
      </c>
      <c r="L54" s="158">
        <v>1219</v>
      </c>
      <c r="M54" s="158">
        <v>2498</v>
      </c>
      <c r="N54" s="158"/>
      <c r="O54" s="158">
        <f t="shared" si="16"/>
        <v>2859</v>
      </c>
      <c r="P54" s="158">
        <v>1219</v>
      </c>
      <c r="Q54" s="158">
        <v>1640</v>
      </c>
      <c r="R54" s="158"/>
      <c r="S54" s="158">
        <f t="shared" si="17"/>
        <v>858</v>
      </c>
      <c r="T54" s="158"/>
      <c r="U54" s="158">
        <v>858</v>
      </c>
      <c r="V54" s="158"/>
      <c r="W54" s="158">
        <f t="shared" si="5"/>
        <v>3718</v>
      </c>
      <c r="X54" s="158">
        <v>1219</v>
      </c>
      <c r="Y54" s="158">
        <v>2499</v>
      </c>
      <c r="Z54" s="158"/>
      <c r="AA54" s="212"/>
    </row>
    <row r="55" spans="1:27" ht="40.5" customHeight="1">
      <c r="A55" s="177" t="s">
        <v>372</v>
      </c>
      <c r="B55" s="73" t="s">
        <v>480</v>
      </c>
      <c r="C55" s="72" t="s">
        <v>356</v>
      </c>
      <c r="D55" s="31"/>
      <c r="E55" s="68" t="s">
        <v>495</v>
      </c>
      <c r="F55" s="181" t="s">
        <v>496</v>
      </c>
      <c r="G55" s="158">
        <v>11839</v>
      </c>
      <c r="H55" s="158">
        <v>7217</v>
      </c>
      <c r="I55" s="158">
        <v>3912</v>
      </c>
      <c r="J55" s="158">
        <v>710</v>
      </c>
      <c r="K55" s="158">
        <v>11839</v>
      </c>
      <c r="L55" s="158">
        <v>7217</v>
      </c>
      <c r="M55" s="158">
        <v>3912</v>
      </c>
      <c r="N55" s="158">
        <v>710</v>
      </c>
      <c r="O55" s="158">
        <f t="shared" si="16"/>
        <v>6421</v>
      </c>
      <c r="P55" s="158">
        <v>1978</v>
      </c>
      <c r="Q55" s="158">
        <v>3733</v>
      </c>
      <c r="R55" s="158">
        <v>710</v>
      </c>
      <c r="S55" s="158">
        <f t="shared" si="17"/>
        <v>179</v>
      </c>
      <c r="T55" s="158"/>
      <c r="U55" s="158">
        <v>179</v>
      </c>
      <c r="V55" s="158"/>
      <c r="W55" s="158">
        <f t="shared" si="5"/>
        <v>11839</v>
      </c>
      <c r="X55" s="158">
        <v>7217</v>
      </c>
      <c r="Y55" s="158">
        <v>3912</v>
      </c>
      <c r="Z55" s="158">
        <v>710</v>
      </c>
      <c r="AA55" s="212"/>
    </row>
    <row r="56" spans="1:27" ht="24.75" customHeight="1">
      <c r="A56" s="177" t="s">
        <v>374</v>
      </c>
      <c r="B56" s="73" t="s">
        <v>481</v>
      </c>
      <c r="C56" s="72" t="s">
        <v>482</v>
      </c>
      <c r="D56" s="31"/>
      <c r="E56" s="68" t="s">
        <v>495</v>
      </c>
      <c r="F56" s="181" t="s">
        <v>497</v>
      </c>
      <c r="G56" s="158">
        <v>5411</v>
      </c>
      <c r="H56" s="158">
        <v>2957</v>
      </c>
      <c r="I56" s="158">
        <v>1854</v>
      </c>
      <c r="J56" s="158">
        <v>600</v>
      </c>
      <c r="K56" s="158">
        <v>5411</v>
      </c>
      <c r="L56" s="158">
        <v>2957</v>
      </c>
      <c r="M56" s="158">
        <v>1854</v>
      </c>
      <c r="N56" s="158">
        <v>600</v>
      </c>
      <c r="O56" s="158">
        <f t="shared" si="16"/>
        <v>9326</v>
      </c>
      <c r="P56" s="158">
        <v>7217</v>
      </c>
      <c r="Q56" s="158">
        <v>1509</v>
      </c>
      <c r="R56" s="158">
        <v>600</v>
      </c>
      <c r="S56" s="158">
        <f t="shared" si="17"/>
        <v>345</v>
      </c>
      <c r="T56" s="158"/>
      <c r="U56" s="158">
        <v>345</v>
      </c>
      <c r="V56" s="158"/>
      <c r="W56" s="158">
        <f t="shared" si="5"/>
        <v>5411</v>
      </c>
      <c r="X56" s="158">
        <v>2957</v>
      </c>
      <c r="Y56" s="158">
        <v>1854</v>
      </c>
      <c r="Z56" s="158">
        <v>600</v>
      </c>
      <c r="AA56" s="212"/>
    </row>
    <row r="57" spans="1:27" ht="60.75" customHeight="1">
      <c r="A57" s="177" t="s">
        <v>376</v>
      </c>
      <c r="B57" s="73" t="s">
        <v>486</v>
      </c>
      <c r="C57" s="72" t="s">
        <v>487</v>
      </c>
      <c r="D57" s="31"/>
      <c r="E57" s="68">
        <v>2018</v>
      </c>
      <c r="F57" s="181" t="s">
        <v>501</v>
      </c>
      <c r="G57" s="158">
        <v>596</v>
      </c>
      <c r="H57" s="158">
        <v>0</v>
      </c>
      <c r="I57" s="158">
        <v>596</v>
      </c>
      <c r="J57" s="158">
        <v>0</v>
      </c>
      <c r="K57" s="158">
        <v>469</v>
      </c>
      <c r="L57" s="158">
        <v>0</v>
      </c>
      <c r="M57" s="158">
        <v>469</v>
      </c>
      <c r="N57" s="158">
        <v>0</v>
      </c>
      <c r="O57" s="158">
        <f t="shared" si="16"/>
        <v>170</v>
      </c>
      <c r="P57" s="158">
        <v>0</v>
      </c>
      <c r="Q57" s="158">
        <v>170</v>
      </c>
      <c r="R57" s="158">
        <v>0</v>
      </c>
      <c r="S57" s="158">
        <f t="shared" si="17"/>
        <v>299</v>
      </c>
      <c r="T57" s="158"/>
      <c r="U57" s="158">
        <v>299</v>
      </c>
      <c r="V57" s="158"/>
      <c r="W57" s="158">
        <f t="shared" si="5"/>
        <v>469</v>
      </c>
      <c r="X57" s="158">
        <v>0</v>
      </c>
      <c r="Y57" s="158">
        <v>469</v>
      </c>
      <c r="Z57" s="158">
        <v>0</v>
      </c>
      <c r="AA57" s="212"/>
    </row>
    <row r="58" spans="1:27" ht="28.5" customHeight="1">
      <c r="A58" s="177" t="s">
        <v>399</v>
      </c>
      <c r="B58" s="73" t="s">
        <v>488</v>
      </c>
      <c r="C58" s="72" t="s">
        <v>357</v>
      </c>
      <c r="D58" s="31"/>
      <c r="E58" s="68">
        <v>2019</v>
      </c>
      <c r="F58" s="181" t="s">
        <v>502</v>
      </c>
      <c r="G58" s="158">
        <v>576</v>
      </c>
      <c r="H58" s="158">
        <v>0</v>
      </c>
      <c r="I58" s="158">
        <v>576</v>
      </c>
      <c r="J58" s="158">
        <v>0</v>
      </c>
      <c r="K58" s="158">
        <v>576</v>
      </c>
      <c r="L58" s="158">
        <v>0</v>
      </c>
      <c r="M58" s="158">
        <v>576</v>
      </c>
      <c r="N58" s="158">
        <v>0</v>
      </c>
      <c r="O58" s="158">
        <f t="shared" si="16"/>
        <v>200</v>
      </c>
      <c r="P58" s="158">
        <v>0</v>
      </c>
      <c r="Q58" s="158">
        <v>200</v>
      </c>
      <c r="R58" s="158">
        <v>0</v>
      </c>
      <c r="S58" s="158">
        <f t="shared" si="17"/>
        <v>376</v>
      </c>
      <c r="T58" s="158"/>
      <c r="U58" s="158">
        <v>376</v>
      </c>
      <c r="V58" s="158"/>
      <c r="W58" s="158">
        <f t="shared" si="5"/>
        <v>576</v>
      </c>
      <c r="X58" s="158">
        <v>0</v>
      </c>
      <c r="Y58" s="158">
        <v>576</v>
      </c>
      <c r="Z58" s="158">
        <v>0</v>
      </c>
      <c r="AA58" s="212"/>
    </row>
    <row r="59" spans="1:27" ht="28.5" customHeight="1">
      <c r="A59" s="177" t="s">
        <v>400</v>
      </c>
      <c r="B59" s="73" t="s">
        <v>489</v>
      </c>
      <c r="C59" s="72" t="s">
        <v>457</v>
      </c>
      <c r="D59" s="31"/>
      <c r="E59" s="68">
        <v>2019</v>
      </c>
      <c r="F59" s="181" t="s">
        <v>503</v>
      </c>
      <c r="G59" s="158">
        <v>1193</v>
      </c>
      <c r="H59" s="158">
        <v>0</v>
      </c>
      <c r="I59" s="158">
        <v>1193</v>
      </c>
      <c r="J59" s="158">
        <v>0</v>
      </c>
      <c r="K59" s="158">
        <v>1193</v>
      </c>
      <c r="L59" s="158">
        <v>0</v>
      </c>
      <c r="M59" s="158">
        <v>1193</v>
      </c>
      <c r="N59" s="158">
        <v>0</v>
      </c>
      <c r="O59" s="158">
        <f t="shared" si="16"/>
        <v>440</v>
      </c>
      <c r="P59" s="158">
        <v>0</v>
      </c>
      <c r="Q59" s="158">
        <v>440</v>
      </c>
      <c r="R59" s="158">
        <v>0</v>
      </c>
      <c r="S59" s="158">
        <f t="shared" si="17"/>
        <v>753</v>
      </c>
      <c r="T59" s="158"/>
      <c r="U59" s="158">
        <v>753</v>
      </c>
      <c r="V59" s="158"/>
      <c r="W59" s="158">
        <f t="shared" si="5"/>
        <v>1193</v>
      </c>
      <c r="X59" s="158">
        <v>0</v>
      </c>
      <c r="Y59" s="158">
        <v>1193</v>
      </c>
      <c r="Z59" s="158">
        <v>0</v>
      </c>
      <c r="AA59" s="212"/>
    </row>
    <row r="60" spans="1:27" ht="39.75" customHeight="1">
      <c r="A60" s="177" t="s">
        <v>401</v>
      </c>
      <c r="B60" s="73" t="s">
        <v>490</v>
      </c>
      <c r="C60" s="72" t="s">
        <v>363</v>
      </c>
      <c r="D60" s="31"/>
      <c r="E60" s="68" t="s">
        <v>504</v>
      </c>
      <c r="F60" s="181" t="s">
        <v>505</v>
      </c>
      <c r="G60" s="158">
        <v>117937</v>
      </c>
      <c r="H60" s="158">
        <v>0</v>
      </c>
      <c r="I60" s="158">
        <v>117937</v>
      </c>
      <c r="J60" s="158">
        <v>0</v>
      </c>
      <c r="K60" s="158">
        <v>75172</v>
      </c>
      <c r="L60" s="158">
        <v>0</v>
      </c>
      <c r="M60" s="158">
        <v>75172</v>
      </c>
      <c r="N60" s="158">
        <v>0</v>
      </c>
      <c r="O60" s="158">
        <f t="shared" si="16"/>
        <v>74121</v>
      </c>
      <c r="P60" s="158">
        <v>0</v>
      </c>
      <c r="Q60" s="158">
        <v>74121</v>
      </c>
      <c r="R60" s="158">
        <v>0</v>
      </c>
      <c r="S60" s="158">
        <f t="shared" si="17"/>
        <v>1051</v>
      </c>
      <c r="T60" s="158"/>
      <c r="U60" s="158">
        <v>1051</v>
      </c>
      <c r="V60" s="158"/>
      <c r="W60" s="158">
        <f t="shared" si="5"/>
        <v>73775</v>
      </c>
      <c r="X60" s="158"/>
      <c r="Y60" s="158">
        <v>73775</v>
      </c>
      <c r="Z60" s="158"/>
      <c r="AA60" s="212"/>
    </row>
    <row r="61" spans="1:27" ht="39.75" customHeight="1">
      <c r="A61" s="177" t="s">
        <v>402</v>
      </c>
      <c r="B61" s="73" t="s">
        <v>492</v>
      </c>
      <c r="C61" s="72" t="s">
        <v>364</v>
      </c>
      <c r="D61" s="31"/>
      <c r="E61" s="68" t="s">
        <v>409</v>
      </c>
      <c r="F61" s="181" t="s">
        <v>508</v>
      </c>
      <c r="G61" s="158">
        <v>8960</v>
      </c>
      <c r="H61" s="158">
        <v>2792</v>
      </c>
      <c r="I61" s="158">
        <f>G61-H61</f>
        <v>6168</v>
      </c>
      <c r="J61" s="158">
        <v>0</v>
      </c>
      <c r="K61" s="158">
        <v>8960</v>
      </c>
      <c r="L61" s="158">
        <v>2792</v>
      </c>
      <c r="M61" s="158">
        <v>6168</v>
      </c>
      <c r="N61" s="158">
        <v>0</v>
      </c>
      <c r="O61" s="158">
        <f t="shared" si="16"/>
        <v>2720</v>
      </c>
      <c r="P61" s="158">
        <v>0</v>
      </c>
      <c r="Q61" s="158">
        <v>2720</v>
      </c>
      <c r="R61" s="158">
        <v>0</v>
      </c>
      <c r="S61" s="158">
        <f t="shared" si="17"/>
        <v>4292</v>
      </c>
      <c r="T61" s="158">
        <v>2792</v>
      </c>
      <c r="U61" s="158">
        <v>1500</v>
      </c>
      <c r="V61" s="158"/>
      <c r="W61" s="158">
        <f t="shared" si="5"/>
        <v>8960</v>
      </c>
      <c r="X61" s="158">
        <v>2792</v>
      </c>
      <c r="Y61" s="158">
        <v>6168</v>
      </c>
      <c r="Z61" s="158">
        <v>0</v>
      </c>
      <c r="AA61" s="212"/>
    </row>
    <row r="62" spans="1:27" ht="29.25" customHeight="1">
      <c r="A62" s="177" t="s">
        <v>403</v>
      </c>
      <c r="B62" s="73" t="s">
        <v>493</v>
      </c>
      <c r="C62" s="72" t="s">
        <v>494</v>
      </c>
      <c r="D62" s="31"/>
      <c r="E62" s="68" t="s">
        <v>509</v>
      </c>
      <c r="F62" s="181" t="s">
        <v>510</v>
      </c>
      <c r="G62" s="158">
        <v>65003</v>
      </c>
      <c r="H62" s="158">
        <v>62024</v>
      </c>
      <c r="I62" s="158">
        <f>G62-H62</f>
        <v>2979</v>
      </c>
      <c r="J62" s="158">
        <v>0</v>
      </c>
      <c r="K62" s="158">
        <v>65003</v>
      </c>
      <c r="L62" s="158">
        <v>62024</v>
      </c>
      <c r="M62" s="158">
        <v>2979</v>
      </c>
      <c r="N62" s="158">
        <v>0</v>
      </c>
      <c r="O62" s="158">
        <f t="shared" si="16"/>
        <v>1926</v>
      </c>
      <c r="P62" s="158">
        <v>0</v>
      </c>
      <c r="Q62" s="158">
        <v>1926</v>
      </c>
      <c r="R62" s="158">
        <v>0</v>
      </c>
      <c r="S62" s="158">
        <f t="shared" si="17"/>
        <v>600</v>
      </c>
      <c r="T62" s="158"/>
      <c r="U62" s="158">
        <v>600</v>
      </c>
      <c r="V62" s="158"/>
      <c r="W62" s="158">
        <f t="shared" si="5"/>
        <v>65003</v>
      </c>
      <c r="X62" s="158">
        <v>62024</v>
      </c>
      <c r="Y62" s="158">
        <v>2979</v>
      </c>
      <c r="Z62" s="158">
        <v>0</v>
      </c>
      <c r="AA62" s="212"/>
    </row>
    <row r="63" spans="1:27" ht="49.5" customHeight="1">
      <c r="A63" s="177" t="s">
        <v>404</v>
      </c>
      <c r="B63" s="73" t="s">
        <v>511</v>
      </c>
      <c r="C63" s="72" t="s">
        <v>512</v>
      </c>
      <c r="D63" s="31"/>
      <c r="E63" s="68" t="s">
        <v>495</v>
      </c>
      <c r="F63" s="181" t="s">
        <v>517</v>
      </c>
      <c r="G63" s="158">
        <v>9886</v>
      </c>
      <c r="H63" s="158">
        <v>7551</v>
      </c>
      <c r="I63" s="158">
        <f aca="true" t="shared" si="18" ref="I63:I94">G63-H63-J63</f>
        <v>2222</v>
      </c>
      <c r="J63" s="158">
        <f>R63+V63</f>
        <v>113</v>
      </c>
      <c r="K63" s="158">
        <v>8444</v>
      </c>
      <c r="L63" s="158">
        <f aca="true" t="shared" si="19" ref="L63:N66">P63+T63</f>
        <v>7551</v>
      </c>
      <c r="M63" s="158">
        <f t="shared" si="19"/>
        <v>780</v>
      </c>
      <c r="N63" s="158">
        <f t="shared" si="19"/>
        <v>113</v>
      </c>
      <c r="O63" s="158">
        <f t="shared" si="16"/>
        <v>8331</v>
      </c>
      <c r="P63" s="158">
        <v>7551</v>
      </c>
      <c r="Q63" s="158">
        <v>780</v>
      </c>
      <c r="R63" s="158">
        <v>0</v>
      </c>
      <c r="S63" s="158">
        <f t="shared" si="17"/>
        <v>113</v>
      </c>
      <c r="T63" s="158"/>
      <c r="U63" s="158"/>
      <c r="V63" s="158">
        <v>113</v>
      </c>
      <c r="W63" s="158">
        <f t="shared" si="5"/>
        <v>8444</v>
      </c>
      <c r="X63" s="158">
        <v>7551</v>
      </c>
      <c r="Y63" s="158">
        <v>780</v>
      </c>
      <c r="Z63" s="158">
        <v>113</v>
      </c>
      <c r="AA63" s="212"/>
    </row>
    <row r="64" spans="1:27" ht="29.25" customHeight="1">
      <c r="A64" s="177" t="s">
        <v>405</v>
      </c>
      <c r="B64" s="73" t="s">
        <v>513</v>
      </c>
      <c r="C64" s="72" t="s">
        <v>482</v>
      </c>
      <c r="D64" s="31"/>
      <c r="E64" s="68" t="s">
        <v>380</v>
      </c>
      <c r="F64" s="181" t="s">
        <v>518</v>
      </c>
      <c r="G64" s="158">
        <v>4945</v>
      </c>
      <c r="H64" s="158">
        <v>2218</v>
      </c>
      <c r="I64" s="158">
        <f t="shared" si="18"/>
        <v>1387</v>
      </c>
      <c r="J64" s="158">
        <f>R64+V64</f>
        <v>1340</v>
      </c>
      <c r="K64" s="158">
        <v>4945</v>
      </c>
      <c r="L64" s="158">
        <f t="shared" si="19"/>
        <v>2218</v>
      </c>
      <c r="M64" s="158">
        <f t="shared" si="19"/>
        <v>1387</v>
      </c>
      <c r="N64" s="158">
        <f t="shared" si="19"/>
        <v>1340</v>
      </c>
      <c r="O64" s="158">
        <f t="shared" si="16"/>
        <v>3834</v>
      </c>
      <c r="P64" s="158">
        <v>1757</v>
      </c>
      <c r="Q64" s="158">
        <v>1387</v>
      </c>
      <c r="R64" s="158">
        <v>690</v>
      </c>
      <c r="S64" s="158">
        <f t="shared" si="17"/>
        <v>1111</v>
      </c>
      <c r="T64" s="158">
        <v>461</v>
      </c>
      <c r="U64" s="158"/>
      <c r="V64" s="158">
        <v>650</v>
      </c>
      <c r="W64" s="158">
        <v>4944</v>
      </c>
      <c r="X64" s="158"/>
      <c r="Y64" s="158"/>
      <c r="Z64" s="158"/>
      <c r="AA64" s="212"/>
    </row>
    <row r="65" spans="1:27" ht="29.25" customHeight="1">
      <c r="A65" s="177" t="s">
        <v>460</v>
      </c>
      <c r="B65" s="73" t="s">
        <v>514</v>
      </c>
      <c r="C65" s="72" t="s">
        <v>515</v>
      </c>
      <c r="D65" s="31"/>
      <c r="E65" s="68">
        <v>2019</v>
      </c>
      <c r="F65" s="181" t="s">
        <v>519</v>
      </c>
      <c r="G65" s="158">
        <v>3527</v>
      </c>
      <c r="H65" s="158">
        <v>3500</v>
      </c>
      <c r="I65" s="158">
        <f t="shared" si="18"/>
        <v>0</v>
      </c>
      <c r="J65" s="158">
        <f>R65+V65</f>
        <v>27</v>
      </c>
      <c r="K65" s="158">
        <v>3527</v>
      </c>
      <c r="L65" s="158">
        <f t="shared" si="19"/>
        <v>3500</v>
      </c>
      <c r="M65" s="158">
        <f t="shared" si="19"/>
        <v>0</v>
      </c>
      <c r="N65" s="158">
        <f t="shared" si="19"/>
        <v>27</v>
      </c>
      <c r="O65" s="158">
        <f t="shared" si="16"/>
        <v>3500</v>
      </c>
      <c r="P65" s="158">
        <v>3500</v>
      </c>
      <c r="Q65" s="158">
        <v>0</v>
      </c>
      <c r="R65" s="158">
        <v>0</v>
      </c>
      <c r="S65" s="158">
        <f t="shared" si="17"/>
        <v>27</v>
      </c>
      <c r="T65" s="158"/>
      <c r="U65" s="158"/>
      <c r="V65" s="158">
        <v>27</v>
      </c>
      <c r="W65" s="158">
        <f t="shared" si="5"/>
        <v>3526</v>
      </c>
      <c r="X65" s="158">
        <v>3500</v>
      </c>
      <c r="Y65" s="158"/>
      <c r="Z65" s="158">
        <v>26</v>
      </c>
      <c r="AA65" s="212"/>
    </row>
    <row r="66" spans="1:27" ht="27.75" customHeight="1">
      <c r="A66" s="177" t="s">
        <v>461</v>
      </c>
      <c r="B66" s="73" t="s">
        <v>516</v>
      </c>
      <c r="C66" s="72" t="s">
        <v>515</v>
      </c>
      <c r="D66" s="31"/>
      <c r="E66" s="68">
        <v>2019</v>
      </c>
      <c r="F66" s="181" t="s">
        <v>520</v>
      </c>
      <c r="G66" s="158">
        <v>1165</v>
      </c>
      <c r="H66" s="158">
        <v>1000</v>
      </c>
      <c r="I66" s="158">
        <f t="shared" si="18"/>
        <v>0</v>
      </c>
      <c r="J66" s="158">
        <f>R66+V66</f>
        <v>165</v>
      </c>
      <c r="K66" s="158">
        <v>1165</v>
      </c>
      <c r="L66" s="158">
        <f t="shared" si="19"/>
        <v>1000</v>
      </c>
      <c r="M66" s="158">
        <f t="shared" si="19"/>
        <v>0</v>
      </c>
      <c r="N66" s="158">
        <f t="shared" si="19"/>
        <v>165</v>
      </c>
      <c r="O66" s="158">
        <f t="shared" si="16"/>
        <v>1000</v>
      </c>
      <c r="P66" s="158">
        <v>1000</v>
      </c>
      <c r="Q66" s="158">
        <v>0</v>
      </c>
      <c r="R66" s="158">
        <v>0</v>
      </c>
      <c r="S66" s="158">
        <f t="shared" si="17"/>
        <v>165</v>
      </c>
      <c r="T66" s="158"/>
      <c r="U66" s="158"/>
      <c r="V66" s="158">
        <v>165</v>
      </c>
      <c r="W66" s="158">
        <f t="shared" si="5"/>
        <v>1165</v>
      </c>
      <c r="X66" s="158">
        <v>1000</v>
      </c>
      <c r="Y66" s="158">
        <v>0</v>
      </c>
      <c r="Z66" s="158">
        <v>165</v>
      </c>
      <c r="AA66" s="212"/>
    </row>
    <row r="67" spans="1:27" ht="36.75" customHeight="1">
      <c r="A67" s="177" t="s">
        <v>462</v>
      </c>
      <c r="B67" s="73" t="s">
        <v>521</v>
      </c>
      <c r="C67" s="72" t="s">
        <v>359</v>
      </c>
      <c r="D67" s="31"/>
      <c r="E67" s="68" t="s">
        <v>498</v>
      </c>
      <c r="F67" s="181" t="s">
        <v>561</v>
      </c>
      <c r="G67" s="158">
        <v>12882</v>
      </c>
      <c r="H67" s="158">
        <v>10311</v>
      </c>
      <c r="I67" s="158">
        <f t="shared" si="18"/>
        <v>2251</v>
      </c>
      <c r="J67" s="158">
        <v>320</v>
      </c>
      <c r="K67" s="158">
        <v>12202</v>
      </c>
      <c r="L67" s="158">
        <v>10311</v>
      </c>
      <c r="M67" s="158">
        <v>1571</v>
      </c>
      <c r="N67" s="158">
        <v>320</v>
      </c>
      <c r="O67" s="158">
        <f t="shared" si="16"/>
        <v>10520</v>
      </c>
      <c r="P67" s="158">
        <v>8972</v>
      </c>
      <c r="Q67" s="158">
        <v>1548</v>
      </c>
      <c r="R67" s="158">
        <v>0</v>
      </c>
      <c r="S67" s="158">
        <f t="shared" si="17"/>
        <v>1343</v>
      </c>
      <c r="T67" s="158">
        <v>1000</v>
      </c>
      <c r="U67" s="158">
        <v>23</v>
      </c>
      <c r="V67" s="158">
        <v>320</v>
      </c>
      <c r="W67" s="158">
        <v>11619</v>
      </c>
      <c r="X67" s="212"/>
      <c r="Y67" s="212"/>
      <c r="Z67" s="212"/>
      <c r="AA67" s="212"/>
    </row>
    <row r="68" spans="1:27" ht="36.75" customHeight="1">
      <c r="A68" s="177" t="s">
        <v>463</v>
      </c>
      <c r="B68" s="73" t="s">
        <v>522</v>
      </c>
      <c r="C68" s="72" t="s">
        <v>523</v>
      </c>
      <c r="D68" s="31"/>
      <c r="E68" s="68" t="s">
        <v>409</v>
      </c>
      <c r="F68" s="181" t="s">
        <v>562</v>
      </c>
      <c r="G68" s="158">
        <v>34272</v>
      </c>
      <c r="H68" s="158">
        <v>27480</v>
      </c>
      <c r="I68" s="158">
        <f t="shared" si="18"/>
        <v>6792</v>
      </c>
      <c r="J68" s="158">
        <v>0</v>
      </c>
      <c r="K68" s="158">
        <v>32570</v>
      </c>
      <c r="L68" s="158">
        <v>27480</v>
      </c>
      <c r="M68" s="158">
        <v>5090</v>
      </c>
      <c r="N68" s="158">
        <v>0</v>
      </c>
      <c r="O68" s="158">
        <f t="shared" si="16"/>
        <v>24766</v>
      </c>
      <c r="P68" s="158">
        <v>22636</v>
      </c>
      <c r="Q68" s="158">
        <v>2130</v>
      </c>
      <c r="R68" s="158">
        <v>0</v>
      </c>
      <c r="S68" s="158">
        <f t="shared" si="17"/>
        <v>2500</v>
      </c>
      <c r="T68" s="158">
        <v>2000</v>
      </c>
      <c r="U68" s="158">
        <v>500</v>
      </c>
      <c r="V68" s="158"/>
      <c r="W68" s="158">
        <v>31661</v>
      </c>
      <c r="X68" s="158"/>
      <c r="Y68" s="158"/>
      <c r="Z68" s="158"/>
      <c r="AA68" s="212"/>
    </row>
    <row r="69" spans="1:27" ht="50.25" customHeight="1">
      <c r="A69" s="177" t="s">
        <v>464</v>
      </c>
      <c r="B69" s="73" t="s">
        <v>524</v>
      </c>
      <c r="C69" s="72" t="s">
        <v>363</v>
      </c>
      <c r="D69" s="31"/>
      <c r="E69" s="68" t="s">
        <v>563</v>
      </c>
      <c r="F69" s="181" t="s">
        <v>564</v>
      </c>
      <c r="G69" s="158">
        <v>26408</v>
      </c>
      <c r="H69" s="158">
        <v>12982</v>
      </c>
      <c r="I69" s="158">
        <f t="shared" si="18"/>
        <v>8619</v>
      </c>
      <c r="J69" s="158">
        <v>4807</v>
      </c>
      <c r="K69" s="158">
        <v>23654</v>
      </c>
      <c r="L69" s="158">
        <v>12982</v>
      </c>
      <c r="M69" s="158">
        <v>5865</v>
      </c>
      <c r="N69" s="158">
        <v>4807</v>
      </c>
      <c r="O69" s="158">
        <f t="shared" si="16"/>
        <v>22256</v>
      </c>
      <c r="P69" s="158">
        <v>11736</v>
      </c>
      <c r="Q69" s="158">
        <v>5713</v>
      </c>
      <c r="R69" s="158">
        <v>4807</v>
      </c>
      <c r="S69" s="158">
        <f t="shared" si="17"/>
        <v>1398</v>
      </c>
      <c r="T69" s="158">
        <v>1246</v>
      </c>
      <c r="U69" s="158">
        <v>152</v>
      </c>
      <c r="V69" s="158"/>
      <c r="W69" s="158">
        <v>24330</v>
      </c>
      <c r="X69" s="158"/>
      <c r="Y69" s="158"/>
      <c r="Z69" s="158"/>
      <c r="AA69" s="212"/>
    </row>
    <row r="70" spans="1:27" ht="33.75" customHeight="1">
      <c r="A70" s="177" t="s">
        <v>465</v>
      </c>
      <c r="B70" s="73" t="s">
        <v>525</v>
      </c>
      <c r="C70" s="72" t="s">
        <v>363</v>
      </c>
      <c r="D70" s="31"/>
      <c r="E70" s="68" t="s">
        <v>565</v>
      </c>
      <c r="F70" s="181" t="s">
        <v>566</v>
      </c>
      <c r="G70" s="158">
        <v>73572</v>
      </c>
      <c r="H70" s="158">
        <v>49479</v>
      </c>
      <c r="I70" s="158">
        <f t="shared" si="18"/>
        <v>24093</v>
      </c>
      <c r="J70" s="158">
        <v>0</v>
      </c>
      <c r="K70" s="158">
        <v>70004</v>
      </c>
      <c r="L70" s="158">
        <v>49479</v>
      </c>
      <c r="M70" s="158">
        <v>20525</v>
      </c>
      <c r="N70" s="158">
        <v>0</v>
      </c>
      <c r="O70" s="158">
        <f t="shared" si="16"/>
        <v>48528</v>
      </c>
      <c r="P70" s="158">
        <v>32773</v>
      </c>
      <c r="Q70" s="158">
        <v>15755</v>
      </c>
      <c r="R70" s="158">
        <v>0</v>
      </c>
      <c r="S70" s="158">
        <f t="shared" si="17"/>
        <v>6000</v>
      </c>
      <c r="T70" s="158">
        <v>5000</v>
      </c>
      <c r="U70" s="158">
        <v>1000</v>
      </c>
      <c r="V70" s="158"/>
      <c r="W70" s="158">
        <v>44482</v>
      </c>
      <c r="X70" s="158"/>
      <c r="Y70" s="158"/>
      <c r="Z70" s="158"/>
      <c r="AA70" s="212"/>
    </row>
    <row r="71" spans="1:27" ht="40.5" customHeight="1">
      <c r="A71" s="177" t="s">
        <v>466</v>
      </c>
      <c r="B71" s="73" t="s">
        <v>527</v>
      </c>
      <c r="C71" s="72" t="s">
        <v>364</v>
      </c>
      <c r="D71" s="31"/>
      <c r="E71" s="68" t="s">
        <v>498</v>
      </c>
      <c r="F71" s="181" t="s">
        <v>568</v>
      </c>
      <c r="G71" s="158">
        <v>22643</v>
      </c>
      <c r="H71" s="158">
        <v>17680</v>
      </c>
      <c r="I71" s="158">
        <f t="shared" si="18"/>
        <v>4263</v>
      </c>
      <c r="J71" s="158">
        <v>700</v>
      </c>
      <c r="K71" s="158">
        <v>22643</v>
      </c>
      <c r="L71" s="158">
        <v>17680</v>
      </c>
      <c r="M71" s="158">
        <v>4263</v>
      </c>
      <c r="N71" s="158">
        <v>700</v>
      </c>
      <c r="O71" s="158">
        <f t="shared" si="16"/>
        <v>19426</v>
      </c>
      <c r="P71" s="158">
        <v>14923</v>
      </c>
      <c r="Q71" s="158">
        <v>3803</v>
      </c>
      <c r="R71" s="158">
        <v>700</v>
      </c>
      <c r="S71" s="158">
        <f t="shared" si="17"/>
        <v>1460</v>
      </c>
      <c r="T71" s="158">
        <v>1000</v>
      </c>
      <c r="U71" s="158">
        <v>460</v>
      </c>
      <c r="V71" s="158"/>
      <c r="W71" s="158">
        <v>18883</v>
      </c>
      <c r="X71" s="158"/>
      <c r="Y71" s="158"/>
      <c r="Z71" s="158"/>
      <c r="AA71" s="212"/>
    </row>
    <row r="72" spans="1:27" ht="24" customHeight="1">
      <c r="A72" s="177" t="s">
        <v>467</v>
      </c>
      <c r="B72" s="73" t="s">
        <v>528</v>
      </c>
      <c r="C72" s="72" t="s">
        <v>363</v>
      </c>
      <c r="D72" s="31"/>
      <c r="E72" s="68" t="s">
        <v>379</v>
      </c>
      <c r="F72" s="181" t="s">
        <v>569</v>
      </c>
      <c r="G72" s="158">
        <v>23243</v>
      </c>
      <c r="H72" s="158">
        <v>18496</v>
      </c>
      <c r="I72" s="158">
        <f t="shared" si="18"/>
        <v>4747</v>
      </c>
      <c r="J72" s="158">
        <v>0</v>
      </c>
      <c r="K72" s="158">
        <v>22218</v>
      </c>
      <c r="L72" s="158">
        <v>18496</v>
      </c>
      <c r="M72" s="158">
        <v>3722</v>
      </c>
      <c r="N72" s="158">
        <v>0</v>
      </c>
      <c r="O72" s="158">
        <f t="shared" si="16"/>
        <v>14510</v>
      </c>
      <c r="P72" s="158">
        <v>11310</v>
      </c>
      <c r="Q72" s="158">
        <v>3200</v>
      </c>
      <c r="R72" s="158">
        <v>0</v>
      </c>
      <c r="S72" s="158">
        <f t="shared" si="17"/>
        <v>3022</v>
      </c>
      <c r="T72" s="158">
        <v>2500</v>
      </c>
      <c r="U72" s="158">
        <v>522</v>
      </c>
      <c r="V72" s="158"/>
      <c r="W72" s="158">
        <v>20908</v>
      </c>
      <c r="X72" s="158"/>
      <c r="Y72" s="158"/>
      <c r="Z72" s="158"/>
      <c r="AA72" s="212"/>
    </row>
    <row r="73" spans="1:27" ht="28.5" customHeight="1">
      <c r="A73" s="177" t="s">
        <v>468</v>
      </c>
      <c r="B73" s="73" t="s">
        <v>529</v>
      </c>
      <c r="C73" s="72" t="s">
        <v>415</v>
      </c>
      <c r="D73" s="31"/>
      <c r="E73" s="68" t="s">
        <v>392</v>
      </c>
      <c r="F73" s="181" t="s">
        <v>570</v>
      </c>
      <c r="G73" s="158">
        <v>8740</v>
      </c>
      <c r="H73" s="158">
        <v>2337.5</v>
      </c>
      <c r="I73" s="158">
        <f t="shared" si="18"/>
        <v>2315.5</v>
      </c>
      <c r="J73" s="158">
        <v>4087</v>
      </c>
      <c r="K73" s="158">
        <v>8345</v>
      </c>
      <c r="L73" s="158">
        <v>2337.5</v>
      </c>
      <c r="M73" s="158">
        <v>1920.75</v>
      </c>
      <c r="N73" s="158">
        <v>4087</v>
      </c>
      <c r="O73" s="158">
        <f t="shared" si="16"/>
        <v>1400</v>
      </c>
      <c r="P73" s="158">
        <v>0</v>
      </c>
      <c r="Q73" s="158">
        <v>1100</v>
      </c>
      <c r="R73" s="158">
        <v>300</v>
      </c>
      <c r="S73" s="158">
        <f t="shared" si="17"/>
        <v>3800</v>
      </c>
      <c r="T73" s="158">
        <v>1500</v>
      </c>
      <c r="U73" s="158">
        <v>300</v>
      </c>
      <c r="V73" s="158">
        <v>2000</v>
      </c>
      <c r="W73" s="158">
        <v>6746</v>
      </c>
      <c r="X73" s="158"/>
      <c r="Y73" s="158"/>
      <c r="Z73" s="158"/>
      <c r="AA73" s="212"/>
    </row>
    <row r="74" spans="1:27" ht="28.5" customHeight="1">
      <c r="A74" s="177" t="s">
        <v>469</v>
      </c>
      <c r="B74" s="73" t="s">
        <v>531</v>
      </c>
      <c r="C74" s="72" t="s">
        <v>353</v>
      </c>
      <c r="D74" s="31"/>
      <c r="E74" s="68" t="s">
        <v>495</v>
      </c>
      <c r="F74" s="181" t="s">
        <v>572</v>
      </c>
      <c r="G74" s="158">
        <v>11923</v>
      </c>
      <c r="H74" s="158">
        <v>4806</v>
      </c>
      <c r="I74" s="158">
        <f t="shared" si="18"/>
        <v>7117</v>
      </c>
      <c r="J74" s="158">
        <v>0</v>
      </c>
      <c r="K74" s="158">
        <v>11355</v>
      </c>
      <c r="L74" s="158">
        <v>4806</v>
      </c>
      <c r="M74" s="158">
        <v>6549</v>
      </c>
      <c r="N74" s="158">
        <v>0</v>
      </c>
      <c r="O74" s="158">
        <f t="shared" si="16"/>
        <v>5550</v>
      </c>
      <c r="P74" s="158">
        <v>0</v>
      </c>
      <c r="Q74" s="158">
        <v>5550</v>
      </c>
      <c r="R74" s="158">
        <v>0</v>
      </c>
      <c r="S74" s="158">
        <f t="shared" si="17"/>
        <v>300</v>
      </c>
      <c r="T74" s="158"/>
      <c r="U74" s="158">
        <v>300</v>
      </c>
      <c r="V74" s="158"/>
      <c r="W74" s="158">
        <v>5786</v>
      </c>
      <c r="X74" s="158"/>
      <c r="Y74" s="158"/>
      <c r="Z74" s="158"/>
      <c r="AA74" s="212"/>
    </row>
    <row r="75" spans="1:27" ht="33.75" customHeight="1">
      <c r="A75" s="177" t="s">
        <v>470</v>
      </c>
      <c r="B75" s="73" t="s">
        <v>532</v>
      </c>
      <c r="C75" s="72" t="s">
        <v>363</v>
      </c>
      <c r="D75" s="31"/>
      <c r="E75" s="68" t="s">
        <v>573</v>
      </c>
      <c r="F75" s="181" t="s">
        <v>574</v>
      </c>
      <c r="G75" s="158">
        <v>7804</v>
      </c>
      <c r="H75" s="158">
        <v>0</v>
      </c>
      <c r="I75" s="158">
        <f t="shared" si="18"/>
        <v>7804</v>
      </c>
      <c r="J75" s="158">
        <v>0</v>
      </c>
      <c r="K75" s="158">
        <v>7804</v>
      </c>
      <c r="L75" s="158">
        <v>0</v>
      </c>
      <c r="M75" s="158">
        <v>7804</v>
      </c>
      <c r="N75" s="158">
        <v>0</v>
      </c>
      <c r="O75" s="158">
        <f t="shared" si="16"/>
        <v>4519</v>
      </c>
      <c r="P75" s="158">
        <v>0</v>
      </c>
      <c r="Q75" s="158">
        <v>4519</v>
      </c>
      <c r="R75" s="158">
        <v>0</v>
      </c>
      <c r="S75" s="158">
        <f t="shared" si="17"/>
        <v>1000</v>
      </c>
      <c r="T75" s="158"/>
      <c r="U75" s="158">
        <v>1000</v>
      </c>
      <c r="V75" s="158"/>
      <c r="W75" s="158">
        <f t="shared" si="5"/>
        <v>4581</v>
      </c>
      <c r="X75" s="158"/>
      <c r="Y75" s="158">
        <v>4581</v>
      </c>
      <c r="Z75" s="158"/>
      <c r="AA75" s="212"/>
    </row>
    <row r="76" spans="1:27" ht="47.25" customHeight="1">
      <c r="A76" s="177" t="s">
        <v>471</v>
      </c>
      <c r="B76" s="73" t="s">
        <v>533</v>
      </c>
      <c r="C76" s="72" t="s">
        <v>484</v>
      </c>
      <c r="D76" s="31"/>
      <c r="E76" s="68" t="s">
        <v>380</v>
      </c>
      <c r="F76" s="181" t="s">
        <v>575</v>
      </c>
      <c r="G76" s="158">
        <v>4042</v>
      </c>
      <c r="H76" s="158">
        <v>0</v>
      </c>
      <c r="I76" s="158">
        <f t="shared" si="18"/>
        <v>4042</v>
      </c>
      <c r="J76" s="158">
        <v>0</v>
      </c>
      <c r="K76" s="158">
        <v>3859</v>
      </c>
      <c r="L76" s="158">
        <v>0</v>
      </c>
      <c r="M76" s="158">
        <v>3859</v>
      </c>
      <c r="N76" s="158">
        <v>0</v>
      </c>
      <c r="O76" s="158">
        <f t="shared" si="16"/>
        <v>1784</v>
      </c>
      <c r="P76" s="158">
        <v>0</v>
      </c>
      <c r="Q76" s="158">
        <v>1784</v>
      </c>
      <c r="R76" s="158">
        <v>0</v>
      </c>
      <c r="S76" s="158">
        <f t="shared" si="17"/>
        <v>1000</v>
      </c>
      <c r="T76" s="158"/>
      <c r="U76" s="158">
        <v>1000</v>
      </c>
      <c r="V76" s="158"/>
      <c r="W76" s="158">
        <f t="shared" si="5"/>
        <v>3463</v>
      </c>
      <c r="X76" s="158"/>
      <c r="Y76" s="158">
        <v>3463</v>
      </c>
      <c r="Z76" s="158"/>
      <c r="AA76" s="212"/>
    </row>
    <row r="77" spans="1:27" ht="33.75" customHeight="1">
      <c r="A77" s="177" t="s">
        <v>680</v>
      </c>
      <c r="B77" s="73" t="s">
        <v>534</v>
      </c>
      <c r="C77" s="72" t="s">
        <v>535</v>
      </c>
      <c r="D77" s="31"/>
      <c r="E77" s="68" t="s">
        <v>380</v>
      </c>
      <c r="F77" s="181" t="s">
        <v>576</v>
      </c>
      <c r="G77" s="158">
        <v>7427</v>
      </c>
      <c r="H77" s="158">
        <v>0</v>
      </c>
      <c r="I77" s="158">
        <f t="shared" si="18"/>
        <v>7427</v>
      </c>
      <c r="J77" s="158">
        <v>0</v>
      </c>
      <c r="K77" s="158">
        <v>7427</v>
      </c>
      <c r="L77" s="158">
        <v>0</v>
      </c>
      <c r="M77" s="158">
        <v>7427</v>
      </c>
      <c r="N77" s="158">
        <v>0</v>
      </c>
      <c r="O77" s="158">
        <f t="shared" si="16"/>
        <v>1500</v>
      </c>
      <c r="P77" s="158">
        <v>0</v>
      </c>
      <c r="Q77" s="158">
        <v>1500</v>
      </c>
      <c r="R77" s="158">
        <v>0</v>
      </c>
      <c r="S77" s="158">
        <f t="shared" si="17"/>
        <v>1500</v>
      </c>
      <c r="T77" s="158"/>
      <c r="U77" s="158">
        <v>1500</v>
      </c>
      <c r="V77" s="158"/>
      <c r="W77" s="158">
        <f t="shared" si="5"/>
        <v>6983</v>
      </c>
      <c r="X77" s="158"/>
      <c r="Y77" s="158">
        <v>6983</v>
      </c>
      <c r="Z77" s="158"/>
      <c r="AA77" s="212"/>
    </row>
    <row r="78" spans="1:27" ht="33.75" customHeight="1">
      <c r="A78" s="177" t="s">
        <v>681</v>
      </c>
      <c r="B78" s="73" t="s">
        <v>536</v>
      </c>
      <c r="C78" s="72" t="s">
        <v>537</v>
      </c>
      <c r="D78" s="31"/>
      <c r="E78" s="68" t="s">
        <v>379</v>
      </c>
      <c r="F78" s="181" t="s">
        <v>577</v>
      </c>
      <c r="G78" s="158">
        <v>636</v>
      </c>
      <c r="H78" s="158">
        <v>0</v>
      </c>
      <c r="I78" s="158">
        <f t="shared" si="18"/>
        <v>636</v>
      </c>
      <c r="J78" s="158">
        <v>0</v>
      </c>
      <c r="K78" s="158">
        <v>636</v>
      </c>
      <c r="L78" s="158">
        <v>0</v>
      </c>
      <c r="M78" s="158">
        <v>636</v>
      </c>
      <c r="N78" s="158">
        <v>0</v>
      </c>
      <c r="O78" s="158">
        <f t="shared" si="16"/>
        <v>500</v>
      </c>
      <c r="P78" s="158">
        <v>0</v>
      </c>
      <c r="Q78" s="158">
        <v>500</v>
      </c>
      <c r="R78" s="158">
        <v>0</v>
      </c>
      <c r="S78" s="158">
        <f t="shared" si="17"/>
        <v>136</v>
      </c>
      <c r="T78" s="158"/>
      <c r="U78" s="158">
        <v>136</v>
      </c>
      <c r="V78" s="158"/>
      <c r="W78" s="158">
        <f t="shared" si="5"/>
        <v>146</v>
      </c>
      <c r="X78" s="158"/>
      <c r="Y78" s="158">
        <v>146</v>
      </c>
      <c r="Z78" s="158"/>
      <c r="AA78" s="212"/>
    </row>
    <row r="79" spans="1:27" ht="47.25" customHeight="1">
      <c r="A79" s="177" t="s">
        <v>682</v>
      </c>
      <c r="B79" s="73" t="s">
        <v>539</v>
      </c>
      <c r="C79" s="72" t="s">
        <v>353</v>
      </c>
      <c r="D79" s="31"/>
      <c r="E79" s="68" t="s">
        <v>393</v>
      </c>
      <c r="F79" s="181" t="s">
        <v>579</v>
      </c>
      <c r="G79" s="158">
        <v>11336</v>
      </c>
      <c r="H79" s="158">
        <v>0</v>
      </c>
      <c r="I79" s="158">
        <f t="shared" si="18"/>
        <v>11336</v>
      </c>
      <c r="J79" s="158">
        <v>0</v>
      </c>
      <c r="K79" s="158">
        <v>10541</v>
      </c>
      <c r="L79" s="158">
        <v>0</v>
      </c>
      <c r="M79" s="158">
        <v>10541</v>
      </c>
      <c r="N79" s="158">
        <v>0</v>
      </c>
      <c r="O79" s="158">
        <f t="shared" si="16"/>
        <v>3968</v>
      </c>
      <c r="P79" s="158">
        <v>0</v>
      </c>
      <c r="Q79" s="158">
        <v>3968</v>
      </c>
      <c r="R79" s="158">
        <v>0</v>
      </c>
      <c r="S79" s="158">
        <f t="shared" si="17"/>
        <v>2500</v>
      </c>
      <c r="T79" s="158">
        <v>0</v>
      </c>
      <c r="U79" s="158">
        <v>2500</v>
      </c>
      <c r="V79" s="158">
        <v>0</v>
      </c>
      <c r="W79" s="158">
        <f t="shared" si="5"/>
        <v>7845</v>
      </c>
      <c r="X79" s="158">
        <f>SUM(X80:X81)</f>
        <v>0</v>
      </c>
      <c r="Y79" s="158">
        <f>SUM(Y80:Y81)</f>
        <v>7845</v>
      </c>
      <c r="Z79" s="158">
        <f>SUM(Z80:Z81)</f>
        <v>0</v>
      </c>
      <c r="AA79" s="212"/>
    </row>
    <row r="80" spans="1:27" s="45" customFormat="1" ht="28.5" customHeight="1">
      <c r="A80" s="182"/>
      <c r="B80" s="183" t="s">
        <v>540</v>
      </c>
      <c r="C80" s="184"/>
      <c r="D80" s="70"/>
      <c r="E80" s="185"/>
      <c r="F80" s="186"/>
      <c r="G80" s="173">
        <v>5425</v>
      </c>
      <c r="H80" s="173">
        <v>0</v>
      </c>
      <c r="I80" s="173">
        <f t="shared" si="18"/>
        <v>5425</v>
      </c>
      <c r="J80" s="173">
        <v>0</v>
      </c>
      <c r="K80" s="173">
        <v>5167</v>
      </c>
      <c r="L80" s="173">
        <v>0</v>
      </c>
      <c r="M80" s="173">
        <v>5167</v>
      </c>
      <c r="N80" s="173">
        <v>0</v>
      </c>
      <c r="O80" s="173">
        <f t="shared" si="16"/>
        <v>1900</v>
      </c>
      <c r="P80" s="173">
        <v>0</v>
      </c>
      <c r="Q80" s="173">
        <v>1900</v>
      </c>
      <c r="R80" s="173">
        <v>0</v>
      </c>
      <c r="S80" s="173">
        <f t="shared" si="17"/>
        <v>1100</v>
      </c>
      <c r="T80" s="173"/>
      <c r="U80" s="173">
        <v>1100</v>
      </c>
      <c r="V80" s="173"/>
      <c r="W80" s="158">
        <f aca="true" t="shared" si="20" ref="W80:W143">SUM(X80:Z80)</f>
        <v>2974</v>
      </c>
      <c r="X80" s="158"/>
      <c r="Y80" s="158">
        <v>2974</v>
      </c>
      <c r="Z80" s="158"/>
      <c r="AA80" s="214"/>
    </row>
    <row r="81" spans="1:27" s="45" customFormat="1" ht="28.5" customHeight="1">
      <c r="A81" s="182"/>
      <c r="B81" s="183" t="s">
        <v>541</v>
      </c>
      <c r="C81" s="184"/>
      <c r="D81" s="70"/>
      <c r="E81" s="185"/>
      <c r="F81" s="186"/>
      <c r="G81" s="173">
        <v>5911</v>
      </c>
      <c r="H81" s="173">
        <v>0</v>
      </c>
      <c r="I81" s="173">
        <f t="shared" si="18"/>
        <v>5911</v>
      </c>
      <c r="J81" s="173">
        <v>0</v>
      </c>
      <c r="K81" s="173">
        <v>5374</v>
      </c>
      <c r="L81" s="173">
        <v>0</v>
      </c>
      <c r="M81" s="173">
        <v>5374</v>
      </c>
      <c r="N81" s="173">
        <v>0</v>
      </c>
      <c r="O81" s="173">
        <f t="shared" si="16"/>
        <v>2068</v>
      </c>
      <c r="P81" s="173">
        <v>0</v>
      </c>
      <c r="Q81" s="173">
        <v>2068</v>
      </c>
      <c r="R81" s="173">
        <v>0</v>
      </c>
      <c r="S81" s="173">
        <f t="shared" si="17"/>
        <v>1400</v>
      </c>
      <c r="T81" s="173"/>
      <c r="U81" s="173">
        <v>1400</v>
      </c>
      <c r="V81" s="173"/>
      <c r="W81" s="158">
        <f t="shared" si="20"/>
        <v>4871</v>
      </c>
      <c r="X81" s="158"/>
      <c r="Y81" s="158">
        <v>4871</v>
      </c>
      <c r="Z81" s="158"/>
      <c r="AA81" s="214"/>
    </row>
    <row r="82" spans="1:27" ht="35.25" customHeight="1">
      <c r="A82" s="177" t="s">
        <v>683</v>
      </c>
      <c r="B82" s="73" t="s">
        <v>542</v>
      </c>
      <c r="C82" s="72" t="s">
        <v>484</v>
      </c>
      <c r="D82" s="31"/>
      <c r="E82" s="68" t="s">
        <v>495</v>
      </c>
      <c r="F82" s="181" t="s">
        <v>580</v>
      </c>
      <c r="G82" s="158">
        <v>3809</v>
      </c>
      <c r="H82" s="158">
        <v>0</v>
      </c>
      <c r="I82" s="158">
        <f t="shared" si="18"/>
        <v>3809</v>
      </c>
      <c r="J82" s="158">
        <v>0</v>
      </c>
      <c r="K82" s="158">
        <v>3794</v>
      </c>
      <c r="L82" s="158">
        <v>0</v>
      </c>
      <c r="M82" s="158">
        <v>3794</v>
      </c>
      <c r="N82" s="158">
        <v>0</v>
      </c>
      <c r="O82" s="158">
        <f t="shared" si="16"/>
        <v>3500</v>
      </c>
      <c r="P82" s="158">
        <v>0</v>
      </c>
      <c r="Q82" s="158">
        <v>3500</v>
      </c>
      <c r="R82" s="158">
        <v>0</v>
      </c>
      <c r="S82" s="158">
        <f t="shared" si="17"/>
        <v>294</v>
      </c>
      <c r="T82" s="158"/>
      <c r="U82" s="158">
        <v>294</v>
      </c>
      <c r="V82" s="158"/>
      <c r="W82" s="158">
        <f t="shared" si="20"/>
        <v>2386</v>
      </c>
      <c r="X82" s="158"/>
      <c r="Y82" s="158">
        <v>2386</v>
      </c>
      <c r="Z82" s="158"/>
      <c r="AA82" s="212"/>
    </row>
    <row r="83" spans="1:27" ht="65.25" customHeight="1">
      <c r="A83" s="177" t="s">
        <v>684</v>
      </c>
      <c r="B83" s="73" t="s">
        <v>543</v>
      </c>
      <c r="C83" s="72" t="s">
        <v>544</v>
      </c>
      <c r="D83" s="31"/>
      <c r="E83" s="68" t="s">
        <v>447</v>
      </c>
      <c r="F83" s="181" t="s">
        <v>581</v>
      </c>
      <c r="G83" s="158">
        <v>4290</v>
      </c>
      <c r="H83" s="158">
        <v>0</v>
      </c>
      <c r="I83" s="158">
        <f t="shared" si="18"/>
        <v>4290</v>
      </c>
      <c r="J83" s="158">
        <v>0</v>
      </c>
      <c r="K83" s="158">
        <v>4086</v>
      </c>
      <c r="L83" s="158">
        <v>0</v>
      </c>
      <c r="M83" s="158">
        <v>4086</v>
      </c>
      <c r="N83" s="158">
        <v>0</v>
      </c>
      <c r="O83" s="158">
        <f t="shared" si="16"/>
        <v>2750</v>
      </c>
      <c r="P83" s="158">
        <v>0</v>
      </c>
      <c r="Q83" s="158">
        <v>2750</v>
      </c>
      <c r="R83" s="158">
        <v>0</v>
      </c>
      <c r="S83" s="158">
        <f t="shared" si="17"/>
        <v>0</v>
      </c>
      <c r="T83" s="158"/>
      <c r="U83" s="158"/>
      <c r="V83" s="158"/>
      <c r="W83" s="158">
        <f t="shared" si="20"/>
        <v>0</v>
      </c>
      <c r="X83" s="158"/>
      <c r="Y83" s="158"/>
      <c r="Z83" s="158"/>
      <c r="AA83" s="212"/>
    </row>
    <row r="84" spans="1:27" ht="40.5" customHeight="1">
      <c r="A84" s="177" t="s">
        <v>685</v>
      </c>
      <c r="B84" s="73" t="s">
        <v>545</v>
      </c>
      <c r="C84" s="72" t="s">
        <v>365</v>
      </c>
      <c r="D84" s="31"/>
      <c r="E84" s="68">
        <v>2020</v>
      </c>
      <c r="F84" s="181" t="s">
        <v>582</v>
      </c>
      <c r="G84" s="158">
        <v>1488</v>
      </c>
      <c r="H84" s="158">
        <v>0</v>
      </c>
      <c r="I84" s="158">
        <f t="shared" si="18"/>
        <v>1488</v>
      </c>
      <c r="J84" s="158">
        <v>0</v>
      </c>
      <c r="K84" s="158">
        <v>1488</v>
      </c>
      <c r="L84" s="158">
        <v>0</v>
      </c>
      <c r="M84" s="158">
        <v>1488</v>
      </c>
      <c r="N84" s="158">
        <v>0</v>
      </c>
      <c r="O84" s="158">
        <f t="shared" si="16"/>
        <v>280</v>
      </c>
      <c r="P84" s="158">
        <v>0</v>
      </c>
      <c r="Q84" s="158">
        <v>280</v>
      </c>
      <c r="R84" s="158">
        <v>0</v>
      </c>
      <c r="S84" s="158">
        <f t="shared" si="17"/>
        <v>700</v>
      </c>
      <c r="T84" s="158"/>
      <c r="U84" s="158">
        <v>700</v>
      </c>
      <c r="V84" s="158"/>
      <c r="W84" s="158">
        <f t="shared" si="20"/>
        <v>77</v>
      </c>
      <c r="X84" s="158"/>
      <c r="Y84" s="158">
        <v>77</v>
      </c>
      <c r="Z84" s="158"/>
      <c r="AA84" s="212"/>
    </row>
    <row r="85" spans="1:27" ht="51" customHeight="1">
      <c r="A85" s="177" t="s">
        <v>686</v>
      </c>
      <c r="B85" s="73" t="s">
        <v>546</v>
      </c>
      <c r="C85" s="72" t="s">
        <v>457</v>
      </c>
      <c r="D85" s="31"/>
      <c r="E85" s="68" t="s">
        <v>394</v>
      </c>
      <c r="F85" s="181" t="s">
        <v>583</v>
      </c>
      <c r="G85" s="158">
        <v>47985</v>
      </c>
      <c r="H85" s="158">
        <v>0</v>
      </c>
      <c r="I85" s="158">
        <f t="shared" si="18"/>
        <v>17985</v>
      </c>
      <c r="J85" s="158">
        <v>30000</v>
      </c>
      <c r="K85" s="158">
        <v>47985</v>
      </c>
      <c r="L85" s="158">
        <v>0</v>
      </c>
      <c r="M85" s="158">
        <v>17985</v>
      </c>
      <c r="N85" s="158">
        <v>30000</v>
      </c>
      <c r="O85" s="158">
        <f aca="true" t="shared" si="21" ref="O85:O116">SUM(P85:R85)</f>
        <v>46456</v>
      </c>
      <c r="P85" s="158">
        <v>0</v>
      </c>
      <c r="Q85" s="158">
        <v>16456</v>
      </c>
      <c r="R85" s="158">
        <v>30000</v>
      </c>
      <c r="S85" s="158">
        <f aca="true" t="shared" si="22" ref="S85:S116">SUM(T85:V85)</f>
        <v>300</v>
      </c>
      <c r="T85" s="158"/>
      <c r="U85" s="158">
        <v>300</v>
      </c>
      <c r="V85" s="158"/>
      <c r="W85" s="158">
        <f t="shared" si="20"/>
        <v>45620</v>
      </c>
      <c r="X85" s="158"/>
      <c r="Y85" s="158">
        <v>15620</v>
      </c>
      <c r="Z85" s="158">
        <v>30000</v>
      </c>
      <c r="AA85" s="212"/>
    </row>
    <row r="86" spans="1:27" ht="25.5" customHeight="1">
      <c r="A86" s="177" t="s">
        <v>687</v>
      </c>
      <c r="B86" s="73" t="s">
        <v>547</v>
      </c>
      <c r="C86" s="72" t="s">
        <v>357</v>
      </c>
      <c r="D86" s="31"/>
      <c r="E86" s="68" t="s">
        <v>379</v>
      </c>
      <c r="F86" s="181" t="s">
        <v>584</v>
      </c>
      <c r="G86" s="158">
        <v>2389</v>
      </c>
      <c r="H86" s="158">
        <v>0</v>
      </c>
      <c r="I86" s="158">
        <f t="shared" si="18"/>
        <v>2220</v>
      </c>
      <c r="J86" s="158">
        <v>169</v>
      </c>
      <c r="K86" s="158">
        <v>2294</v>
      </c>
      <c r="L86" s="158">
        <v>0</v>
      </c>
      <c r="M86" s="158">
        <v>2125</v>
      </c>
      <c r="N86" s="158">
        <v>169</v>
      </c>
      <c r="O86" s="158">
        <f t="shared" si="21"/>
        <v>1627</v>
      </c>
      <c r="P86" s="158">
        <v>0</v>
      </c>
      <c r="Q86" s="158">
        <v>1458</v>
      </c>
      <c r="R86" s="158">
        <v>169</v>
      </c>
      <c r="S86" s="158">
        <f t="shared" si="22"/>
        <v>762</v>
      </c>
      <c r="T86" s="158"/>
      <c r="U86" s="158">
        <v>762</v>
      </c>
      <c r="V86" s="158"/>
      <c r="W86" s="158">
        <f t="shared" si="20"/>
        <v>2214</v>
      </c>
      <c r="X86" s="158"/>
      <c r="Y86" s="158">
        <v>2214</v>
      </c>
      <c r="Z86" s="158"/>
      <c r="AA86" s="212"/>
    </row>
    <row r="87" spans="1:27" ht="40.5" customHeight="1">
      <c r="A87" s="177" t="s">
        <v>688</v>
      </c>
      <c r="B87" s="73" t="s">
        <v>548</v>
      </c>
      <c r="C87" s="72" t="s">
        <v>357</v>
      </c>
      <c r="D87" s="31"/>
      <c r="E87" s="68" t="s">
        <v>379</v>
      </c>
      <c r="F87" s="181" t="s">
        <v>585</v>
      </c>
      <c r="G87" s="158">
        <v>3423</v>
      </c>
      <c r="H87" s="158">
        <v>0</v>
      </c>
      <c r="I87" s="158">
        <f t="shared" si="18"/>
        <v>3423</v>
      </c>
      <c r="J87" s="158">
        <v>0</v>
      </c>
      <c r="K87" s="158">
        <v>3368</v>
      </c>
      <c r="L87" s="158">
        <v>0</v>
      </c>
      <c r="M87" s="158">
        <v>3368</v>
      </c>
      <c r="N87" s="158">
        <v>0</v>
      </c>
      <c r="O87" s="158">
        <f t="shared" si="21"/>
        <v>2499</v>
      </c>
      <c r="P87" s="158">
        <v>0</v>
      </c>
      <c r="Q87" s="158">
        <v>2499</v>
      </c>
      <c r="R87" s="158">
        <v>0</v>
      </c>
      <c r="S87" s="158">
        <f t="shared" si="22"/>
        <v>869</v>
      </c>
      <c r="T87" s="158"/>
      <c r="U87" s="158">
        <v>869</v>
      </c>
      <c r="V87" s="158"/>
      <c r="W87" s="158">
        <f t="shared" si="20"/>
        <v>3027</v>
      </c>
      <c r="X87" s="158"/>
      <c r="Y87" s="158">
        <v>3027</v>
      </c>
      <c r="Z87" s="158"/>
      <c r="AA87" s="212"/>
    </row>
    <row r="88" spans="1:27" ht="30" customHeight="1">
      <c r="A88" s="177" t="s">
        <v>689</v>
      </c>
      <c r="B88" s="73" t="s">
        <v>549</v>
      </c>
      <c r="C88" s="72" t="s">
        <v>430</v>
      </c>
      <c r="D88" s="31"/>
      <c r="E88" s="68" t="s">
        <v>379</v>
      </c>
      <c r="F88" s="181" t="s">
        <v>586</v>
      </c>
      <c r="G88" s="158">
        <v>7806</v>
      </c>
      <c r="H88" s="158">
        <v>0</v>
      </c>
      <c r="I88" s="158">
        <f t="shared" si="18"/>
        <v>7806</v>
      </c>
      <c r="J88" s="158">
        <v>0</v>
      </c>
      <c r="K88" s="158">
        <v>7528</v>
      </c>
      <c r="L88" s="158">
        <v>0</v>
      </c>
      <c r="M88" s="158">
        <v>7528</v>
      </c>
      <c r="N88" s="158">
        <v>0</v>
      </c>
      <c r="O88" s="158">
        <f t="shared" si="21"/>
        <v>4764</v>
      </c>
      <c r="P88" s="158">
        <v>0</v>
      </c>
      <c r="Q88" s="158">
        <v>4764</v>
      </c>
      <c r="R88" s="158">
        <v>0</v>
      </c>
      <c r="S88" s="158">
        <f t="shared" si="22"/>
        <v>1300</v>
      </c>
      <c r="T88" s="158"/>
      <c r="U88" s="158">
        <v>1300</v>
      </c>
      <c r="V88" s="158"/>
      <c r="W88" s="158">
        <f t="shared" si="20"/>
        <v>7567</v>
      </c>
      <c r="X88" s="158"/>
      <c r="Y88" s="158">
        <v>7567</v>
      </c>
      <c r="Z88" s="158"/>
      <c r="AA88" s="212"/>
    </row>
    <row r="89" spans="1:27" ht="30" customHeight="1">
      <c r="A89" s="177" t="s">
        <v>690</v>
      </c>
      <c r="B89" s="73" t="s">
        <v>550</v>
      </c>
      <c r="C89" s="72" t="s">
        <v>457</v>
      </c>
      <c r="D89" s="31"/>
      <c r="E89" s="68" t="s">
        <v>587</v>
      </c>
      <c r="F89" s="181" t="s">
        <v>588</v>
      </c>
      <c r="G89" s="158">
        <v>977</v>
      </c>
      <c r="H89" s="158">
        <v>0</v>
      </c>
      <c r="I89" s="158">
        <f t="shared" si="18"/>
        <v>977</v>
      </c>
      <c r="J89" s="158">
        <v>0</v>
      </c>
      <c r="K89" s="158">
        <v>942</v>
      </c>
      <c r="L89" s="158">
        <v>0</v>
      </c>
      <c r="M89" s="158">
        <v>942</v>
      </c>
      <c r="N89" s="158">
        <v>0</v>
      </c>
      <c r="O89" s="158">
        <f t="shared" si="21"/>
        <v>770</v>
      </c>
      <c r="P89" s="158">
        <v>0</v>
      </c>
      <c r="Q89" s="158">
        <v>770</v>
      </c>
      <c r="R89" s="158">
        <v>0</v>
      </c>
      <c r="S89" s="158">
        <f t="shared" si="22"/>
        <v>172</v>
      </c>
      <c r="T89" s="158"/>
      <c r="U89" s="158">
        <v>172</v>
      </c>
      <c r="V89" s="158"/>
      <c r="W89" s="158">
        <f t="shared" si="20"/>
        <v>919</v>
      </c>
      <c r="X89" s="158"/>
      <c r="Y89" s="158">
        <v>919</v>
      </c>
      <c r="Z89" s="158"/>
      <c r="AA89" s="212"/>
    </row>
    <row r="90" spans="1:27" ht="28.5" customHeight="1">
      <c r="A90" s="177" t="s">
        <v>691</v>
      </c>
      <c r="B90" s="73" t="s">
        <v>551</v>
      </c>
      <c r="C90" s="72" t="s">
        <v>364</v>
      </c>
      <c r="D90" s="31"/>
      <c r="E90" s="68">
        <v>2020</v>
      </c>
      <c r="F90" s="181" t="s">
        <v>589</v>
      </c>
      <c r="G90" s="158">
        <v>1463</v>
      </c>
      <c r="H90" s="158">
        <v>0</v>
      </c>
      <c r="I90" s="158">
        <f t="shared" si="18"/>
        <v>1463</v>
      </c>
      <c r="J90" s="158">
        <v>0</v>
      </c>
      <c r="K90" s="158">
        <v>1427</v>
      </c>
      <c r="L90" s="158">
        <v>0</v>
      </c>
      <c r="M90" s="158">
        <v>1427</v>
      </c>
      <c r="N90" s="158">
        <v>0</v>
      </c>
      <c r="O90" s="158">
        <f t="shared" si="21"/>
        <v>1242</v>
      </c>
      <c r="P90" s="158">
        <v>0</v>
      </c>
      <c r="Q90" s="158">
        <v>1242</v>
      </c>
      <c r="R90" s="158">
        <v>0</v>
      </c>
      <c r="S90" s="158">
        <f t="shared" si="22"/>
        <v>185</v>
      </c>
      <c r="T90" s="158"/>
      <c r="U90" s="158">
        <v>185</v>
      </c>
      <c r="V90" s="158"/>
      <c r="W90" s="158">
        <f t="shared" si="20"/>
        <v>1323</v>
      </c>
      <c r="X90" s="158"/>
      <c r="Y90" s="158">
        <v>1323</v>
      </c>
      <c r="Z90" s="158"/>
      <c r="AA90" s="212"/>
    </row>
    <row r="91" spans="1:27" ht="40.5" customHeight="1">
      <c r="A91" s="177" t="s">
        <v>692</v>
      </c>
      <c r="B91" s="73" t="s">
        <v>552</v>
      </c>
      <c r="C91" s="72" t="s">
        <v>553</v>
      </c>
      <c r="D91" s="31"/>
      <c r="E91" s="68">
        <v>2020</v>
      </c>
      <c r="F91" s="181" t="s">
        <v>590</v>
      </c>
      <c r="G91" s="158">
        <v>1618</v>
      </c>
      <c r="H91" s="158">
        <v>0</v>
      </c>
      <c r="I91" s="158">
        <f t="shared" si="18"/>
        <v>1618</v>
      </c>
      <c r="J91" s="158">
        <v>0</v>
      </c>
      <c r="K91" s="158">
        <v>1534</v>
      </c>
      <c r="L91" s="158">
        <v>0</v>
      </c>
      <c r="M91" s="158">
        <v>1534</v>
      </c>
      <c r="N91" s="158">
        <v>0</v>
      </c>
      <c r="O91" s="158">
        <f t="shared" si="21"/>
        <v>1121</v>
      </c>
      <c r="P91" s="158">
        <v>0</v>
      </c>
      <c r="Q91" s="158">
        <v>1121</v>
      </c>
      <c r="R91" s="158">
        <v>0</v>
      </c>
      <c r="S91" s="158">
        <f t="shared" si="22"/>
        <v>250</v>
      </c>
      <c r="T91" s="158"/>
      <c r="U91" s="158">
        <v>250</v>
      </c>
      <c r="V91" s="158"/>
      <c r="W91" s="158">
        <f t="shared" si="20"/>
        <v>1220</v>
      </c>
      <c r="X91" s="158"/>
      <c r="Y91" s="158">
        <v>1220</v>
      </c>
      <c r="Z91" s="158"/>
      <c r="AA91" s="212"/>
    </row>
    <row r="92" spans="1:27" ht="24.75" customHeight="1">
      <c r="A92" s="177" t="s">
        <v>693</v>
      </c>
      <c r="B92" s="73" t="s">
        <v>554</v>
      </c>
      <c r="C92" s="72" t="s">
        <v>360</v>
      </c>
      <c r="D92" s="31"/>
      <c r="E92" s="68">
        <v>2020</v>
      </c>
      <c r="F92" s="181" t="s">
        <v>591</v>
      </c>
      <c r="G92" s="158">
        <v>427</v>
      </c>
      <c r="H92" s="158">
        <v>0</v>
      </c>
      <c r="I92" s="158">
        <f t="shared" si="18"/>
        <v>427</v>
      </c>
      <c r="J92" s="158">
        <v>0</v>
      </c>
      <c r="K92" s="158">
        <v>407</v>
      </c>
      <c r="L92" s="158">
        <v>0</v>
      </c>
      <c r="M92" s="158">
        <v>407</v>
      </c>
      <c r="N92" s="158">
        <v>0</v>
      </c>
      <c r="O92" s="158">
        <f t="shared" si="21"/>
        <v>200</v>
      </c>
      <c r="P92" s="158">
        <v>0</v>
      </c>
      <c r="Q92" s="158">
        <v>200</v>
      </c>
      <c r="R92" s="158">
        <v>0</v>
      </c>
      <c r="S92" s="158">
        <f t="shared" si="22"/>
        <v>207</v>
      </c>
      <c r="T92" s="158"/>
      <c r="U92" s="158">
        <v>207</v>
      </c>
      <c r="V92" s="158"/>
      <c r="W92" s="158">
        <f t="shared" si="20"/>
        <v>404</v>
      </c>
      <c r="X92" s="158"/>
      <c r="Y92" s="158">
        <v>404</v>
      </c>
      <c r="Z92" s="158"/>
      <c r="AA92" s="212"/>
    </row>
    <row r="93" spans="1:27" ht="40.5" customHeight="1">
      <c r="A93" s="177" t="s">
        <v>694</v>
      </c>
      <c r="B93" s="73" t="s">
        <v>555</v>
      </c>
      <c r="C93" s="72" t="s">
        <v>556</v>
      </c>
      <c r="D93" s="31"/>
      <c r="E93" s="68" t="s">
        <v>587</v>
      </c>
      <c r="F93" s="181" t="s">
        <v>592</v>
      </c>
      <c r="G93" s="158">
        <v>980</v>
      </c>
      <c r="H93" s="158">
        <v>0</v>
      </c>
      <c r="I93" s="158">
        <f t="shared" si="18"/>
        <v>980</v>
      </c>
      <c r="J93" s="158">
        <v>0</v>
      </c>
      <c r="K93" s="158">
        <v>936</v>
      </c>
      <c r="L93" s="158">
        <v>0</v>
      </c>
      <c r="M93" s="158">
        <v>936</v>
      </c>
      <c r="N93" s="158">
        <v>0</v>
      </c>
      <c r="O93" s="158">
        <f t="shared" si="21"/>
        <v>350</v>
      </c>
      <c r="P93" s="158">
        <v>0</v>
      </c>
      <c r="Q93" s="158">
        <v>350</v>
      </c>
      <c r="R93" s="158">
        <v>0</v>
      </c>
      <c r="S93" s="158">
        <f t="shared" si="22"/>
        <v>300</v>
      </c>
      <c r="T93" s="158"/>
      <c r="U93" s="158">
        <v>300</v>
      </c>
      <c r="V93" s="158"/>
      <c r="W93" s="158">
        <f t="shared" si="20"/>
        <v>845</v>
      </c>
      <c r="X93" s="158"/>
      <c r="Y93" s="158">
        <v>845</v>
      </c>
      <c r="Z93" s="158"/>
      <c r="AA93" s="212"/>
    </row>
    <row r="94" spans="1:27" ht="25.5" customHeight="1">
      <c r="A94" s="177" t="s">
        <v>695</v>
      </c>
      <c r="B94" s="73" t="s">
        <v>557</v>
      </c>
      <c r="C94" s="72" t="s">
        <v>349</v>
      </c>
      <c r="D94" s="31"/>
      <c r="E94" s="68">
        <v>2020</v>
      </c>
      <c r="F94" s="181" t="s">
        <v>593</v>
      </c>
      <c r="G94" s="158">
        <v>595</v>
      </c>
      <c r="H94" s="158">
        <v>0</v>
      </c>
      <c r="I94" s="158">
        <f t="shared" si="18"/>
        <v>595</v>
      </c>
      <c r="J94" s="158">
        <v>0</v>
      </c>
      <c r="K94" s="158">
        <v>586</v>
      </c>
      <c r="L94" s="158">
        <v>0</v>
      </c>
      <c r="M94" s="158">
        <v>586</v>
      </c>
      <c r="N94" s="158">
        <v>0</v>
      </c>
      <c r="O94" s="158">
        <f t="shared" si="21"/>
        <v>280</v>
      </c>
      <c r="P94" s="158">
        <v>0</v>
      </c>
      <c r="Q94" s="158">
        <v>280</v>
      </c>
      <c r="R94" s="158">
        <v>0</v>
      </c>
      <c r="S94" s="158">
        <f t="shared" si="22"/>
        <v>306</v>
      </c>
      <c r="T94" s="158"/>
      <c r="U94" s="158">
        <v>306</v>
      </c>
      <c r="V94" s="158"/>
      <c r="W94" s="158">
        <f t="shared" si="20"/>
        <v>517</v>
      </c>
      <c r="X94" s="158"/>
      <c r="Y94" s="158">
        <v>517</v>
      </c>
      <c r="Z94" s="158"/>
      <c r="AA94" s="212"/>
    </row>
    <row r="95" spans="1:27" ht="40.5" customHeight="1">
      <c r="A95" s="177" t="s">
        <v>696</v>
      </c>
      <c r="B95" s="73" t="s">
        <v>558</v>
      </c>
      <c r="C95" s="72" t="s">
        <v>420</v>
      </c>
      <c r="D95" s="31"/>
      <c r="E95" s="68" t="s">
        <v>587</v>
      </c>
      <c r="F95" s="181" t="s">
        <v>594</v>
      </c>
      <c r="G95" s="158">
        <v>1666</v>
      </c>
      <c r="H95" s="158">
        <v>0</v>
      </c>
      <c r="I95" s="158">
        <f aca="true" t="shared" si="23" ref="I95:I126">G95-H95-J95</f>
        <v>1666</v>
      </c>
      <c r="J95" s="158">
        <v>0</v>
      </c>
      <c r="K95" s="158">
        <v>1624</v>
      </c>
      <c r="L95" s="158">
        <v>0</v>
      </c>
      <c r="M95" s="158">
        <v>1624</v>
      </c>
      <c r="N95" s="158">
        <v>0</v>
      </c>
      <c r="O95" s="158">
        <f t="shared" si="21"/>
        <v>800</v>
      </c>
      <c r="P95" s="158">
        <v>0</v>
      </c>
      <c r="Q95" s="158">
        <v>800</v>
      </c>
      <c r="R95" s="158">
        <v>0</v>
      </c>
      <c r="S95" s="158">
        <f t="shared" si="22"/>
        <v>300</v>
      </c>
      <c r="T95" s="158"/>
      <c r="U95" s="158">
        <v>300</v>
      </c>
      <c r="V95" s="158"/>
      <c r="W95" s="158">
        <f t="shared" si="20"/>
        <v>561</v>
      </c>
      <c r="X95" s="158"/>
      <c r="Y95" s="158">
        <v>561</v>
      </c>
      <c r="Z95" s="158"/>
      <c r="AA95" s="212"/>
    </row>
    <row r="96" spans="1:27" ht="25.5" customHeight="1">
      <c r="A96" s="177" t="s">
        <v>697</v>
      </c>
      <c r="B96" s="73" t="s">
        <v>559</v>
      </c>
      <c r="C96" s="72" t="s">
        <v>408</v>
      </c>
      <c r="D96" s="31"/>
      <c r="E96" s="68" t="s">
        <v>587</v>
      </c>
      <c r="F96" s="181" t="s">
        <v>595</v>
      </c>
      <c r="G96" s="158">
        <v>778</v>
      </c>
      <c r="H96" s="158">
        <v>0</v>
      </c>
      <c r="I96" s="158">
        <f t="shared" si="23"/>
        <v>778</v>
      </c>
      <c r="J96" s="158">
        <v>0</v>
      </c>
      <c r="K96" s="158">
        <v>759</v>
      </c>
      <c r="L96" s="158">
        <v>0</v>
      </c>
      <c r="M96" s="158">
        <v>759</v>
      </c>
      <c r="N96" s="158">
        <v>0</v>
      </c>
      <c r="O96" s="158">
        <f t="shared" si="21"/>
        <v>350</v>
      </c>
      <c r="P96" s="158">
        <v>0</v>
      </c>
      <c r="Q96" s="158">
        <v>350</v>
      </c>
      <c r="R96" s="158">
        <v>0</v>
      </c>
      <c r="S96" s="158">
        <f t="shared" si="22"/>
        <v>250</v>
      </c>
      <c r="T96" s="158"/>
      <c r="U96" s="158">
        <v>250</v>
      </c>
      <c r="V96" s="158"/>
      <c r="W96" s="158">
        <f t="shared" si="20"/>
        <v>283</v>
      </c>
      <c r="X96" s="158"/>
      <c r="Y96" s="158">
        <v>283</v>
      </c>
      <c r="Z96" s="158"/>
      <c r="AA96" s="212"/>
    </row>
    <row r="97" spans="1:27" ht="28.5" customHeight="1">
      <c r="A97" s="177" t="s">
        <v>698</v>
      </c>
      <c r="B97" s="73" t="s">
        <v>560</v>
      </c>
      <c r="C97" s="72" t="s">
        <v>458</v>
      </c>
      <c r="D97" s="31"/>
      <c r="E97" s="68" t="s">
        <v>587</v>
      </c>
      <c r="F97" s="181" t="s">
        <v>596</v>
      </c>
      <c r="G97" s="158">
        <v>1258</v>
      </c>
      <c r="H97" s="158">
        <v>0</v>
      </c>
      <c r="I97" s="158">
        <f t="shared" si="23"/>
        <v>1258</v>
      </c>
      <c r="J97" s="158">
        <v>0</v>
      </c>
      <c r="K97" s="158">
        <v>1228</v>
      </c>
      <c r="L97" s="158">
        <v>0</v>
      </c>
      <c r="M97" s="158">
        <v>1228</v>
      </c>
      <c r="N97" s="158">
        <v>0</v>
      </c>
      <c r="O97" s="158">
        <f t="shared" si="21"/>
        <v>0</v>
      </c>
      <c r="P97" s="158">
        <v>0</v>
      </c>
      <c r="Q97" s="158">
        <v>0</v>
      </c>
      <c r="R97" s="158">
        <v>0</v>
      </c>
      <c r="S97" s="158">
        <f t="shared" si="22"/>
        <v>400</v>
      </c>
      <c r="T97" s="158"/>
      <c r="U97" s="158">
        <v>400</v>
      </c>
      <c r="V97" s="158"/>
      <c r="W97" s="158">
        <f t="shared" si="20"/>
        <v>333</v>
      </c>
      <c r="X97" s="158"/>
      <c r="Y97" s="158">
        <v>333</v>
      </c>
      <c r="Z97" s="158"/>
      <c r="AA97" s="212"/>
    </row>
    <row r="98" spans="1:27" ht="45" customHeight="1">
      <c r="A98" s="177" t="s">
        <v>699</v>
      </c>
      <c r="B98" s="73" t="s">
        <v>597</v>
      </c>
      <c r="C98" s="72" t="s">
        <v>359</v>
      </c>
      <c r="D98" s="31"/>
      <c r="E98" s="68" t="s">
        <v>379</v>
      </c>
      <c r="F98" s="181" t="s">
        <v>600</v>
      </c>
      <c r="G98" s="158">
        <v>14333</v>
      </c>
      <c r="H98" s="158">
        <v>10733</v>
      </c>
      <c r="I98" s="158">
        <f t="shared" si="23"/>
        <v>678</v>
      </c>
      <c r="J98" s="158">
        <v>2922</v>
      </c>
      <c r="K98" s="158">
        <v>13655</v>
      </c>
      <c r="L98" s="158">
        <v>10733</v>
      </c>
      <c r="M98" s="158">
        <f>K98-L98-N98</f>
        <v>0</v>
      </c>
      <c r="N98" s="158">
        <v>2922</v>
      </c>
      <c r="O98" s="158">
        <f t="shared" si="21"/>
        <v>8816</v>
      </c>
      <c r="P98" s="158">
        <v>8666</v>
      </c>
      <c r="Q98" s="158">
        <v>0</v>
      </c>
      <c r="R98" s="158">
        <v>150</v>
      </c>
      <c r="S98" s="158">
        <f t="shared" si="22"/>
        <v>2000</v>
      </c>
      <c r="T98" s="158">
        <v>1000</v>
      </c>
      <c r="U98" s="158"/>
      <c r="V98" s="158">
        <v>1000</v>
      </c>
      <c r="W98" s="158">
        <v>12535</v>
      </c>
      <c r="X98" s="158"/>
      <c r="Y98" s="158"/>
      <c r="Z98" s="158"/>
      <c r="AA98" s="212"/>
    </row>
    <row r="99" spans="1:27" ht="24.75" customHeight="1">
      <c r="A99" s="177" t="s">
        <v>700</v>
      </c>
      <c r="B99" s="73" t="s">
        <v>598</v>
      </c>
      <c r="C99" s="72" t="s">
        <v>359</v>
      </c>
      <c r="D99" s="31"/>
      <c r="E99" s="68" t="s">
        <v>601</v>
      </c>
      <c r="F99" s="181" t="s">
        <v>602</v>
      </c>
      <c r="G99" s="158">
        <v>14464</v>
      </c>
      <c r="H99" s="158">
        <v>12111</v>
      </c>
      <c r="I99" s="158">
        <f t="shared" si="23"/>
        <v>317</v>
      </c>
      <c r="J99" s="158">
        <v>2036</v>
      </c>
      <c r="K99" s="158">
        <v>14445</v>
      </c>
      <c r="L99" s="158">
        <v>12111</v>
      </c>
      <c r="M99" s="158">
        <f>K99-L99-N99</f>
        <v>298</v>
      </c>
      <c r="N99" s="158">
        <v>2036</v>
      </c>
      <c r="O99" s="158">
        <f t="shared" si="21"/>
        <v>12994</v>
      </c>
      <c r="P99" s="158">
        <v>12111</v>
      </c>
      <c r="Q99" s="158">
        <v>298</v>
      </c>
      <c r="R99" s="158">
        <v>585</v>
      </c>
      <c r="S99" s="158">
        <f t="shared" si="22"/>
        <v>1451</v>
      </c>
      <c r="T99" s="158"/>
      <c r="U99" s="158"/>
      <c r="V99" s="158">
        <v>1451</v>
      </c>
      <c r="W99" s="158">
        <v>12606</v>
      </c>
      <c r="X99" s="158"/>
      <c r="Y99" s="158"/>
      <c r="Z99" s="158"/>
      <c r="AA99" s="212"/>
    </row>
    <row r="100" spans="1:27" ht="27.75" customHeight="1">
      <c r="A100" s="177" t="s">
        <v>701</v>
      </c>
      <c r="B100" s="73" t="s">
        <v>599</v>
      </c>
      <c r="C100" s="72" t="s">
        <v>357</v>
      </c>
      <c r="D100" s="31"/>
      <c r="E100" s="68" t="s">
        <v>603</v>
      </c>
      <c r="F100" s="181" t="s">
        <v>604</v>
      </c>
      <c r="G100" s="158">
        <v>14532</v>
      </c>
      <c r="H100" s="158">
        <v>9965</v>
      </c>
      <c r="I100" s="158">
        <f t="shared" si="23"/>
        <v>209</v>
      </c>
      <c r="J100" s="158">
        <v>4358</v>
      </c>
      <c r="K100" s="158">
        <v>14323</v>
      </c>
      <c r="L100" s="158">
        <v>9965</v>
      </c>
      <c r="M100" s="158">
        <f>K100-L100-N100</f>
        <v>0</v>
      </c>
      <c r="N100" s="158">
        <v>4358</v>
      </c>
      <c r="O100" s="158">
        <f t="shared" si="21"/>
        <v>7640</v>
      </c>
      <c r="P100" s="158">
        <v>5440</v>
      </c>
      <c r="Q100" s="158">
        <v>0</v>
      </c>
      <c r="R100" s="158">
        <v>2200</v>
      </c>
      <c r="S100" s="158">
        <f t="shared" si="22"/>
        <v>4658</v>
      </c>
      <c r="T100" s="158">
        <v>2500</v>
      </c>
      <c r="U100" s="158"/>
      <c r="V100" s="158">
        <v>2158</v>
      </c>
      <c r="W100" s="158">
        <v>10715</v>
      </c>
      <c r="X100" s="158"/>
      <c r="Y100" s="158"/>
      <c r="Z100" s="158"/>
      <c r="AA100" s="212"/>
    </row>
    <row r="101" spans="1:27" ht="38.25" customHeight="1">
      <c r="A101" s="177" t="s">
        <v>702</v>
      </c>
      <c r="B101" s="73" t="s">
        <v>605</v>
      </c>
      <c r="C101" s="72" t="s">
        <v>353</v>
      </c>
      <c r="D101" s="31"/>
      <c r="E101" s="68" t="s">
        <v>447</v>
      </c>
      <c r="F101" s="181" t="s">
        <v>636</v>
      </c>
      <c r="G101" s="158">
        <v>14400</v>
      </c>
      <c r="H101" s="158">
        <v>5000</v>
      </c>
      <c r="I101" s="158">
        <f t="shared" si="23"/>
        <v>9400</v>
      </c>
      <c r="J101" s="158">
        <v>0</v>
      </c>
      <c r="K101" s="158">
        <f aca="true" t="shared" si="24" ref="K101:K135">SUM(L101:N101)</f>
        <v>13591</v>
      </c>
      <c r="L101" s="158">
        <v>5000</v>
      </c>
      <c r="M101" s="158">
        <v>8591</v>
      </c>
      <c r="N101" s="158">
        <v>0</v>
      </c>
      <c r="O101" s="158">
        <f t="shared" si="21"/>
        <v>6600</v>
      </c>
      <c r="P101" s="158">
        <v>4000</v>
      </c>
      <c r="Q101" s="158">
        <v>2600</v>
      </c>
      <c r="R101" s="158">
        <v>0</v>
      </c>
      <c r="S101" s="158">
        <f t="shared" si="22"/>
        <v>2500</v>
      </c>
      <c r="T101" s="158">
        <v>1000</v>
      </c>
      <c r="U101" s="158">
        <v>1500</v>
      </c>
      <c r="V101" s="158"/>
      <c r="W101" s="158">
        <f t="shared" si="20"/>
        <v>7368</v>
      </c>
      <c r="X101" s="158"/>
      <c r="Y101" s="158">
        <v>7368</v>
      </c>
      <c r="Z101" s="158"/>
      <c r="AA101" s="212"/>
    </row>
    <row r="102" spans="1:27" ht="40.5" customHeight="1">
      <c r="A102" s="177" t="s">
        <v>703</v>
      </c>
      <c r="B102" s="73" t="s">
        <v>606</v>
      </c>
      <c r="C102" s="72" t="s">
        <v>363</v>
      </c>
      <c r="D102" s="31"/>
      <c r="E102" s="68" t="s">
        <v>498</v>
      </c>
      <c r="F102" s="181" t="s">
        <v>637</v>
      </c>
      <c r="G102" s="158">
        <v>251757</v>
      </c>
      <c r="H102" s="158">
        <v>110000</v>
      </c>
      <c r="I102" s="158">
        <f t="shared" si="23"/>
        <v>141757</v>
      </c>
      <c r="J102" s="158">
        <v>0</v>
      </c>
      <c r="K102" s="158">
        <f t="shared" si="24"/>
        <v>247959.033</v>
      </c>
      <c r="L102" s="158">
        <v>110000</v>
      </c>
      <c r="M102" s="158">
        <v>137959.033</v>
      </c>
      <c r="N102" s="158">
        <v>0</v>
      </c>
      <c r="O102" s="158">
        <f t="shared" si="21"/>
        <v>174654.347</v>
      </c>
      <c r="P102" s="158">
        <v>110000</v>
      </c>
      <c r="Q102" s="158">
        <v>64654.347</v>
      </c>
      <c r="R102" s="158">
        <v>0</v>
      </c>
      <c r="S102" s="158">
        <f t="shared" si="22"/>
        <v>18000</v>
      </c>
      <c r="T102" s="158"/>
      <c r="U102" s="158">
        <v>18000</v>
      </c>
      <c r="V102" s="158"/>
      <c r="W102" s="158">
        <f t="shared" si="20"/>
        <v>129769</v>
      </c>
      <c r="X102" s="158">
        <v>110000</v>
      </c>
      <c r="Y102" s="158">
        <v>19769</v>
      </c>
      <c r="Z102" s="158"/>
      <c r="AA102" s="212"/>
    </row>
    <row r="103" spans="1:27" ht="40.5" customHeight="1">
      <c r="A103" s="177" t="s">
        <v>704</v>
      </c>
      <c r="B103" s="73" t="s">
        <v>607</v>
      </c>
      <c r="C103" s="72" t="s">
        <v>608</v>
      </c>
      <c r="D103" s="31"/>
      <c r="E103" s="68" t="s">
        <v>379</v>
      </c>
      <c r="F103" s="181" t="s">
        <v>638</v>
      </c>
      <c r="G103" s="158">
        <v>14320</v>
      </c>
      <c r="H103" s="158">
        <v>4405</v>
      </c>
      <c r="I103" s="158">
        <f t="shared" si="23"/>
        <v>8645</v>
      </c>
      <c r="J103" s="158">
        <v>1270</v>
      </c>
      <c r="K103" s="158">
        <f t="shared" si="24"/>
        <v>13638</v>
      </c>
      <c r="L103" s="158">
        <v>4405</v>
      </c>
      <c r="M103" s="158">
        <v>7963</v>
      </c>
      <c r="N103" s="158">
        <v>1270</v>
      </c>
      <c r="O103" s="158">
        <f t="shared" si="21"/>
        <v>1000</v>
      </c>
      <c r="P103" s="158">
        <v>0</v>
      </c>
      <c r="Q103" s="158">
        <v>1000</v>
      </c>
      <c r="R103" s="158">
        <v>0</v>
      </c>
      <c r="S103" s="158">
        <f t="shared" si="22"/>
        <v>3770</v>
      </c>
      <c r="T103" s="158">
        <v>2000</v>
      </c>
      <c r="U103" s="158">
        <v>500</v>
      </c>
      <c r="V103" s="158">
        <v>1270</v>
      </c>
      <c r="W103" s="158">
        <v>507</v>
      </c>
      <c r="X103" s="158"/>
      <c r="Y103" s="158"/>
      <c r="Z103" s="158"/>
      <c r="AA103" s="212"/>
    </row>
    <row r="104" spans="1:27" ht="40.5" customHeight="1">
      <c r="A104" s="177" t="s">
        <v>705</v>
      </c>
      <c r="B104" s="73" t="s">
        <v>609</v>
      </c>
      <c r="C104" s="72" t="s">
        <v>363</v>
      </c>
      <c r="D104" s="31"/>
      <c r="E104" s="68" t="s">
        <v>379</v>
      </c>
      <c r="F104" s="181" t="s">
        <v>639</v>
      </c>
      <c r="G104" s="158">
        <v>14075</v>
      </c>
      <c r="H104" s="158">
        <v>5182</v>
      </c>
      <c r="I104" s="158">
        <f t="shared" si="23"/>
        <v>8893</v>
      </c>
      <c r="J104" s="158">
        <v>0</v>
      </c>
      <c r="K104" s="158">
        <f t="shared" si="24"/>
        <v>13634.994</v>
      </c>
      <c r="L104" s="158">
        <v>5182</v>
      </c>
      <c r="M104" s="158">
        <v>8452.994</v>
      </c>
      <c r="N104" s="158">
        <v>0</v>
      </c>
      <c r="O104" s="158">
        <f t="shared" si="21"/>
        <v>2000</v>
      </c>
      <c r="P104" s="158">
        <v>0</v>
      </c>
      <c r="Q104" s="158">
        <v>2000</v>
      </c>
      <c r="R104" s="158">
        <v>0</v>
      </c>
      <c r="S104" s="158">
        <f t="shared" si="22"/>
        <v>2300</v>
      </c>
      <c r="T104" s="158">
        <v>1800</v>
      </c>
      <c r="U104" s="158">
        <v>500</v>
      </c>
      <c r="V104" s="158"/>
      <c r="W104" s="158">
        <v>2157</v>
      </c>
      <c r="X104" s="158"/>
      <c r="Y104" s="158"/>
      <c r="Z104" s="158"/>
      <c r="AA104" s="212"/>
    </row>
    <row r="105" spans="1:27" ht="50.25" customHeight="1">
      <c r="A105" s="177" t="s">
        <v>706</v>
      </c>
      <c r="B105" s="73" t="s">
        <v>610</v>
      </c>
      <c r="C105" s="72" t="s">
        <v>353</v>
      </c>
      <c r="D105" s="31"/>
      <c r="E105" s="68" t="s">
        <v>640</v>
      </c>
      <c r="F105" s="181" t="s">
        <v>641</v>
      </c>
      <c r="G105" s="158">
        <v>127318</v>
      </c>
      <c r="H105" s="158">
        <v>40000</v>
      </c>
      <c r="I105" s="158">
        <f t="shared" si="23"/>
        <v>87318</v>
      </c>
      <c r="J105" s="158">
        <v>0</v>
      </c>
      <c r="K105" s="158">
        <f t="shared" si="24"/>
        <v>118369</v>
      </c>
      <c r="L105" s="158">
        <v>40000</v>
      </c>
      <c r="M105" s="158">
        <v>78369</v>
      </c>
      <c r="N105" s="158">
        <v>0</v>
      </c>
      <c r="O105" s="158">
        <f t="shared" si="21"/>
        <v>73773</v>
      </c>
      <c r="P105" s="158">
        <v>29000</v>
      </c>
      <c r="Q105" s="158">
        <v>44773</v>
      </c>
      <c r="R105" s="158">
        <v>0</v>
      </c>
      <c r="S105" s="158">
        <f t="shared" si="22"/>
        <v>15000</v>
      </c>
      <c r="T105" s="158">
        <v>5000</v>
      </c>
      <c r="U105" s="158">
        <v>10000</v>
      </c>
      <c r="V105" s="158"/>
      <c r="W105" s="158">
        <v>72108</v>
      </c>
      <c r="X105" s="158"/>
      <c r="Y105" s="158"/>
      <c r="Z105" s="158"/>
      <c r="AA105" s="212"/>
    </row>
    <row r="106" spans="1:27" ht="37.5" customHeight="1">
      <c r="A106" s="177" t="s">
        <v>707</v>
      </c>
      <c r="B106" s="73" t="s">
        <v>612</v>
      </c>
      <c r="C106" s="72" t="s">
        <v>544</v>
      </c>
      <c r="D106" s="31"/>
      <c r="E106" s="68" t="s">
        <v>392</v>
      </c>
      <c r="F106" s="181" t="s">
        <v>643</v>
      </c>
      <c r="G106" s="158">
        <v>14699</v>
      </c>
      <c r="H106" s="158">
        <v>4724</v>
      </c>
      <c r="I106" s="158">
        <f t="shared" si="23"/>
        <v>9975</v>
      </c>
      <c r="J106" s="158">
        <v>0</v>
      </c>
      <c r="K106" s="158">
        <f t="shared" si="24"/>
        <v>14038</v>
      </c>
      <c r="L106" s="158">
        <v>4724</v>
      </c>
      <c r="M106" s="158">
        <v>9314</v>
      </c>
      <c r="N106" s="158">
        <v>0</v>
      </c>
      <c r="O106" s="158">
        <f t="shared" si="21"/>
        <v>1000</v>
      </c>
      <c r="P106" s="158">
        <v>0</v>
      </c>
      <c r="Q106" s="158">
        <v>1000</v>
      </c>
      <c r="R106" s="158">
        <v>0</v>
      </c>
      <c r="S106" s="158">
        <f t="shared" si="22"/>
        <v>3500</v>
      </c>
      <c r="T106" s="158">
        <v>2000</v>
      </c>
      <c r="U106" s="158">
        <v>1500</v>
      </c>
      <c r="V106" s="158"/>
      <c r="W106" s="158">
        <v>2452</v>
      </c>
      <c r="X106" s="158"/>
      <c r="Y106" s="158"/>
      <c r="Z106" s="158"/>
      <c r="AA106" s="212"/>
    </row>
    <row r="107" spans="1:27" ht="51" customHeight="1">
      <c r="A107" s="177" t="s">
        <v>708</v>
      </c>
      <c r="B107" s="73" t="s">
        <v>613</v>
      </c>
      <c r="C107" s="72" t="s">
        <v>357</v>
      </c>
      <c r="D107" s="31"/>
      <c r="E107" s="68" t="s">
        <v>644</v>
      </c>
      <c r="F107" s="181" t="s">
        <v>645</v>
      </c>
      <c r="G107" s="158">
        <v>38004</v>
      </c>
      <c r="H107" s="158">
        <v>30800</v>
      </c>
      <c r="I107" s="158">
        <f t="shared" si="23"/>
        <v>5391</v>
      </c>
      <c r="J107" s="158">
        <v>1813</v>
      </c>
      <c r="K107" s="158">
        <f t="shared" si="24"/>
        <v>37459</v>
      </c>
      <c r="L107" s="158">
        <v>30800</v>
      </c>
      <c r="M107" s="158">
        <v>4846</v>
      </c>
      <c r="N107" s="158">
        <v>1813</v>
      </c>
      <c r="O107" s="158">
        <f t="shared" si="21"/>
        <v>36748</v>
      </c>
      <c r="P107" s="158">
        <v>30800</v>
      </c>
      <c r="Q107" s="158">
        <v>4135</v>
      </c>
      <c r="R107" s="158">
        <v>1813</v>
      </c>
      <c r="S107" s="158">
        <f t="shared" si="22"/>
        <v>500</v>
      </c>
      <c r="T107" s="158"/>
      <c r="U107" s="158">
        <v>500</v>
      </c>
      <c r="V107" s="158"/>
      <c r="W107" s="158">
        <v>33987</v>
      </c>
      <c r="X107" s="158"/>
      <c r="Y107" s="158"/>
      <c r="Z107" s="158"/>
      <c r="AA107" s="212"/>
    </row>
    <row r="108" spans="1:27" ht="35.25" customHeight="1">
      <c r="A108" s="177" t="s">
        <v>709</v>
      </c>
      <c r="B108" s="73" t="s">
        <v>614</v>
      </c>
      <c r="C108" s="72" t="s">
        <v>361</v>
      </c>
      <c r="D108" s="31"/>
      <c r="E108" s="68" t="s">
        <v>379</v>
      </c>
      <c r="F108" s="181" t="s">
        <v>646</v>
      </c>
      <c r="G108" s="158">
        <v>14973</v>
      </c>
      <c r="H108" s="158">
        <v>4955</v>
      </c>
      <c r="I108" s="158">
        <f t="shared" si="23"/>
        <v>10018</v>
      </c>
      <c r="J108" s="158">
        <v>0</v>
      </c>
      <c r="K108" s="158">
        <f t="shared" si="24"/>
        <v>14438</v>
      </c>
      <c r="L108" s="158">
        <v>4955</v>
      </c>
      <c r="M108" s="158">
        <v>9483</v>
      </c>
      <c r="N108" s="158">
        <v>0</v>
      </c>
      <c r="O108" s="158">
        <f t="shared" si="21"/>
        <v>1000</v>
      </c>
      <c r="P108" s="158">
        <v>0</v>
      </c>
      <c r="Q108" s="158">
        <v>1000</v>
      </c>
      <c r="R108" s="158">
        <v>0</v>
      </c>
      <c r="S108" s="158">
        <f t="shared" si="22"/>
        <v>3000</v>
      </c>
      <c r="T108" s="158">
        <v>2000</v>
      </c>
      <c r="U108" s="158">
        <v>1000</v>
      </c>
      <c r="V108" s="158"/>
      <c r="W108" s="158">
        <v>464</v>
      </c>
      <c r="X108" s="158"/>
      <c r="Y108" s="158"/>
      <c r="Z108" s="158"/>
      <c r="AA108" s="212"/>
    </row>
    <row r="109" spans="1:27" ht="39" customHeight="1">
      <c r="A109" s="177" t="s">
        <v>710</v>
      </c>
      <c r="B109" s="73" t="s">
        <v>615</v>
      </c>
      <c r="C109" s="72" t="s">
        <v>353</v>
      </c>
      <c r="D109" s="31"/>
      <c r="E109" s="68" t="s">
        <v>392</v>
      </c>
      <c r="F109" s="181" t="s">
        <v>647</v>
      </c>
      <c r="G109" s="158">
        <v>12042</v>
      </c>
      <c r="H109" s="158">
        <v>3762</v>
      </c>
      <c r="I109" s="158">
        <f t="shared" si="23"/>
        <v>8280</v>
      </c>
      <c r="J109" s="158">
        <v>0</v>
      </c>
      <c r="K109" s="158">
        <f t="shared" si="24"/>
        <v>11483</v>
      </c>
      <c r="L109" s="158">
        <v>3762</v>
      </c>
      <c r="M109" s="158">
        <v>7721</v>
      </c>
      <c r="N109" s="158">
        <v>0</v>
      </c>
      <c r="O109" s="158">
        <f t="shared" si="21"/>
        <v>4715</v>
      </c>
      <c r="P109" s="158">
        <v>0</v>
      </c>
      <c r="Q109" s="158">
        <v>4715</v>
      </c>
      <c r="R109" s="158">
        <v>0</v>
      </c>
      <c r="S109" s="158">
        <f t="shared" si="22"/>
        <v>2000</v>
      </c>
      <c r="T109" s="158">
        <v>1700</v>
      </c>
      <c r="U109" s="158">
        <v>300</v>
      </c>
      <c r="V109" s="158"/>
      <c r="W109" s="158">
        <v>5019</v>
      </c>
      <c r="X109" s="158"/>
      <c r="Y109" s="158"/>
      <c r="Z109" s="158"/>
      <c r="AA109" s="212"/>
    </row>
    <row r="110" spans="1:27" ht="47.25" customHeight="1">
      <c r="A110" s="177" t="s">
        <v>711</v>
      </c>
      <c r="B110" s="73" t="s">
        <v>616</v>
      </c>
      <c r="C110" s="72" t="s">
        <v>537</v>
      </c>
      <c r="D110" s="31"/>
      <c r="E110" s="68" t="s">
        <v>648</v>
      </c>
      <c r="F110" s="181" t="s">
        <v>649</v>
      </c>
      <c r="G110" s="158">
        <v>410293.131</v>
      </c>
      <c r="H110" s="158">
        <v>185000</v>
      </c>
      <c r="I110" s="158">
        <f t="shared" si="23"/>
        <v>225293.131</v>
      </c>
      <c r="J110" s="158">
        <v>0</v>
      </c>
      <c r="K110" s="158">
        <f t="shared" si="24"/>
        <v>395007.131</v>
      </c>
      <c r="L110" s="158">
        <v>185000</v>
      </c>
      <c r="M110" s="158">
        <v>210007.131</v>
      </c>
      <c r="N110" s="158">
        <v>0</v>
      </c>
      <c r="O110" s="158">
        <f t="shared" si="21"/>
        <v>265673</v>
      </c>
      <c r="P110" s="158">
        <v>185000</v>
      </c>
      <c r="Q110" s="158">
        <v>80673</v>
      </c>
      <c r="R110" s="158">
        <v>0</v>
      </c>
      <c r="S110" s="158">
        <f t="shared" si="22"/>
        <v>25000</v>
      </c>
      <c r="T110" s="158"/>
      <c r="U110" s="158">
        <v>25000</v>
      </c>
      <c r="V110" s="158"/>
      <c r="W110" s="158">
        <v>124482</v>
      </c>
      <c r="X110" s="158"/>
      <c r="Y110" s="158"/>
      <c r="Z110" s="158"/>
      <c r="AA110" s="212"/>
    </row>
    <row r="111" spans="1:27" ht="37.5" customHeight="1">
      <c r="A111" s="177" t="s">
        <v>712</v>
      </c>
      <c r="B111" s="73" t="s">
        <v>617</v>
      </c>
      <c r="C111" s="72" t="s">
        <v>365</v>
      </c>
      <c r="D111" s="31"/>
      <c r="E111" s="68" t="s">
        <v>447</v>
      </c>
      <c r="F111" s="181" t="s">
        <v>650</v>
      </c>
      <c r="G111" s="158">
        <v>10197</v>
      </c>
      <c r="H111" s="158">
        <v>3380</v>
      </c>
      <c r="I111" s="158">
        <f t="shared" si="23"/>
        <v>6817</v>
      </c>
      <c r="J111" s="158">
        <v>0</v>
      </c>
      <c r="K111" s="158">
        <f t="shared" si="24"/>
        <v>9712</v>
      </c>
      <c r="L111" s="158">
        <v>3380</v>
      </c>
      <c r="M111" s="158">
        <v>6332</v>
      </c>
      <c r="N111" s="158">
        <v>0</v>
      </c>
      <c r="O111" s="158">
        <f t="shared" si="21"/>
        <v>3569</v>
      </c>
      <c r="P111" s="158">
        <v>2500</v>
      </c>
      <c r="Q111" s="158">
        <v>1069</v>
      </c>
      <c r="R111" s="158">
        <v>0</v>
      </c>
      <c r="S111" s="158">
        <f t="shared" si="22"/>
        <v>1880</v>
      </c>
      <c r="T111" s="158">
        <v>880</v>
      </c>
      <c r="U111" s="158">
        <v>1000</v>
      </c>
      <c r="V111" s="158"/>
      <c r="W111" s="158">
        <v>2940</v>
      </c>
      <c r="X111" s="158"/>
      <c r="Y111" s="158"/>
      <c r="Z111" s="158"/>
      <c r="AA111" s="212"/>
    </row>
    <row r="112" spans="1:27" ht="48" customHeight="1">
      <c r="A112" s="177" t="s">
        <v>713</v>
      </c>
      <c r="B112" s="73" t="s">
        <v>618</v>
      </c>
      <c r="C112" s="72" t="s">
        <v>544</v>
      </c>
      <c r="D112" s="31"/>
      <c r="E112" s="68" t="s">
        <v>447</v>
      </c>
      <c r="F112" s="181" t="s">
        <v>651</v>
      </c>
      <c r="G112" s="158">
        <v>69335</v>
      </c>
      <c r="H112" s="158">
        <v>26761.5</v>
      </c>
      <c r="I112" s="158">
        <f t="shared" si="23"/>
        <v>42573.5</v>
      </c>
      <c r="J112" s="158">
        <v>0</v>
      </c>
      <c r="K112" s="158">
        <f t="shared" si="24"/>
        <v>64669</v>
      </c>
      <c r="L112" s="158">
        <v>26761.5</v>
      </c>
      <c r="M112" s="158">
        <v>37907.5</v>
      </c>
      <c r="N112" s="158">
        <v>0</v>
      </c>
      <c r="O112" s="158">
        <f t="shared" si="21"/>
        <v>18800</v>
      </c>
      <c r="P112" s="158">
        <v>6800</v>
      </c>
      <c r="Q112" s="158">
        <v>12000</v>
      </c>
      <c r="R112" s="158">
        <v>0</v>
      </c>
      <c r="S112" s="158">
        <f t="shared" si="22"/>
        <v>8500</v>
      </c>
      <c r="T112" s="158">
        <v>7500</v>
      </c>
      <c r="U112" s="158">
        <v>1000</v>
      </c>
      <c r="V112" s="158"/>
      <c r="W112" s="158">
        <v>1937</v>
      </c>
      <c r="X112" s="158"/>
      <c r="Y112" s="158"/>
      <c r="Z112" s="158"/>
      <c r="AA112" s="212"/>
    </row>
    <row r="113" spans="1:27" ht="32.25" customHeight="1">
      <c r="A113" s="177" t="s">
        <v>714</v>
      </c>
      <c r="B113" s="73" t="s">
        <v>619</v>
      </c>
      <c r="C113" s="72" t="s">
        <v>537</v>
      </c>
      <c r="D113" s="31"/>
      <c r="E113" s="68" t="s">
        <v>447</v>
      </c>
      <c r="F113" s="181" t="s">
        <v>652</v>
      </c>
      <c r="G113" s="158">
        <v>78965</v>
      </c>
      <c r="H113" s="158">
        <v>44670</v>
      </c>
      <c r="I113" s="158">
        <f t="shared" si="23"/>
        <v>34295</v>
      </c>
      <c r="J113" s="158">
        <v>0</v>
      </c>
      <c r="K113" s="158">
        <f t="shared" si="24"/>
        <v>72108</v>
      </c>
      <c r="L113" s="158">
        <v>44670</v>
      </c>
      <c r="M113" s="158">
        <v>27438</v>
      </c>
      <c r="N113" s="158">
        <v>0</v>
      </c>
      <c r="O113" s="158">
        <f t="shared" si="21"/>
        <v>15000</v>
      </c>
      <c r="P113" s="158">
        <v>15000</v>
      </c>
      <c r="Q113" s="158">
        <v>0</v>
      </c>
      <c r="R113" s="158">
        <v>0</v>
      </c>
      <c r="S113" s="158">
        <f t="shared" si="22"/>
        <v>23000</v>
      </c>
      <c r="T113" s="158">
        <v>10000</v>
      </c>
      <c r="U113" s="158">
        <v>13000</v>
      </c>
      <c r="V113" s="158"/>
      <c r="W113" s="158">
        <v>15293</v>
      </c>
      <c r="X113" s="158"/>
      <c r="Y113" s="158"/>
      <c r="Z113" s="158"/>
      <c r="AA113" s="212"/>
    </row>
    <row r="114" spans="1:27" ht="24" customHeight="1">
      <c r="A114" s="177" t="s">
        <v>715</v>
      </c>
      <c r="B114" s="73" t="s">
        <v>620</v>
      </c>
      <c r="C114" s="72" t="s">
        <v>362</v>
      </c>
      <c r="D114" s="31"/>
      <c r="E114" s="68" t="s">
        <v>653</v>
      </c>
      <c r="F114" s="181" t="s">
        <v>654</v>
      </c>
      <c r="G114" s="158">
        <v>1006</v>
      </c>
      <c r="H114" s="158">
        <v>0</v>
      </c>
      <c r="I114" s="158">
        <f t="shared" si="23"/>
        <v>1006</v>
      </c>
      <c r="J114" s="158">
        <v>0</v>
      </c>
      <c r="K114" s="158">
        <f t="shared" si="24"/>
        <v>958</v>
      </c>
      <c r="L114" s="158">
        <v>0</v>
      </c>
      <c r="M114" s="158">
        <v>958</v>
      </c>
      <c r="N114" s="158">
        <v>0</v>
      </c>
      <c r="O114" s="158">
        <f t="shared" si="21"/>
        <v>800</v>
      </c>
      <c r="P114" s="158">
        <v>0</v>
      </c>
      <c r="Q114" s="158">
        <v>800</v>
      </c>
      <c r="R114" s="158">
        <v>0</v>
      </c>
      <c r="S114" s="158">
        <f t="shared" si="22"/>
        <v>158</v>
      </c>
      <c r="T114" s="158"/>
      <c r="U114" s="158">
        <v>158</v>
      </c>
      <c r="V114" s="158"/>
      <c r="W114" s="158">
        <f t="shared" si="20"/>
        <v>1995</v>
      </c>
      <c r="X114" s="158"/>
      <c r="Y114" s="158">
        <v>1995</v>
      </c>
      <c r="Z114" s="158"/>
      <c r="AA114" s="212"/>
    </row>
    <row r="115" spans="1:27" ht="48.75" customHeight="1">
      <c r="A115" s="177" t="s">
        <v>716</v>
      </c>
      <c r="B115" s="73" t="s">
        <v>621</v>
      </c>
      <c r="C115" s="72" t="s">
        <v>363</v>
      </c>
      <c r="D115" s="31"/>
      <c r="E115" s="68" t="s">
        <v>653</v>
      </c>
      <c r="F115" s="181" t="s">
        <v>655</v>
      </c>
      <c r="G115" s="158">
        <v>6937</v>
      </c>
      <c r="H115" s="158">
        <v>0</v>
      </c>
      <c r="I115" s="158">
        <f t="shared" si="23"/>
        <v>6937</v>
      </c>
      <c r="J115" s="158">
        <v>0</v>
      </c>
      <c r="K115" s="158">
        <f t="shared" si="24"/>
        <v>6854</v>
      </c>
      <c r="L115" s="158">
        <v>0</v>
      </c>
      <c r="M115" s="158">
        <v>6854</v>
      </c>
      <c r="N115" s="158">
        <v>0</v>
      </c>
      <c r="O115" s="158">
        <f t="shared" si="21"/>
        <v>4930</v>
      </c>
      <c r="P115" s="158">
        <v>0</v>
      </c>
      <c r="Q115" s="158">
        <v>4930</v>
      </c>
      <c r="R115" s="158">
        <v>0</v>
      </c>
      <c r="S115" s="158">
        <f t="shared" si="22"/>
        <v>500</v>
      </c>
      <c r="T115" s="158"/>
      <c r="U115" s="158">
        <v>500</v>
      </c>
      <c r="V115" s="158"/>
      <c r="W115" s="158">
        <f t="shared" si="20"/>
        <v>4231</v>
      </c>
      <c r="X115" s="158"/>
      <c r="Y115" s="158">
        <v>4231</v>
      </c>
      <c r="Z115" s="158"/>
      <c r="AA115" s="212"/>
    </row>
    <row r="116" spans="1:27" ht="26.25" customHeight="1">
      <c r="A116" s="177" t="s">
        <v>717</v>
      </c>
      <c r="B116" s="73" t="s">
        <v>622</v>
      </c>
      <c r="C116" s="72" t="s">
        <v>544</v>
      </c>
      <c r="D116" s="31"/>
      <c r="E116" s="68" t="s">
        <v>392</v>
      </c>
      <c r="F116" s="181" t="s">
        <v>656</v>
      </c>
      <c r="G116" s="158">
        <v>28256</v>
      </c>
      <c r="H116" s="158">
        <v>1684</v>
      </c>
      <c r="I116" s="158">
        <f t="shared" si="23"/>
        <v>21254</v>
      </c>
      <c r="J116" s="158">
        <v>5318</v>
      </c>
      <c r="K116" s="158">
        <f t="shared" si="24"/>
        <v>25949</v>
      </c>
      <c r="L116" s="158">
        <v>1684</v>
      </c>
      <c r="M116" s="158">
        <v>18947</v>
      </c>
      <c r="N116" s="158">
        <v>5318</v>
      </c>
      <c r="O116" s="158">
        <f t="shared" si="21"/>
        <v>7401</v>
      </c>
      <c r="P116" s="158">
        <v>0</v>
      </c>
      <c r="Q116" s="158">
        <v>5463</v>
      </c>
      <c r="R116" s="158">
        <v>1938</v>
      </c>
      <c r="S116" s="158">
        <f t="shared" si="22"/>
        <v>9564</v>
      </c>
      <c r="T116" s="158">
        <v>1684</v>
      </c>
      <c r="U116" s="158">
        <v>4500</v>
      </c>
      <c r="V116" s="158">
        <v>3380</v>
      </c>
      <c r="W116" s="158">
        <f t="shared" si="20"/>
        <v>16150</v>
      </c>
      <c r="X116" s="158"/>
      <c r="Y116" s="158">
        <v>16150</v>
      </c>
      <c r="Z116" s="158"/>
      <c r="AA116" s="212"/>
    </row>
    <row r="117" spans="1:27" ht="33.75" customHeight="1">
      <c r="A117" s="177" t="s">
        <v>718</v>
      </c>
      <c r="B117" s="73" t="s">
        <v>623</v>
      </c>
      <c r="C117" s="72" t="s">
        <v>353</v>
      </c>
      <c r="D117" s="31"/>
      <c r="E117" s="68" t="s">
        <v>393</v>
      </c>
      <c r="F117" s="181" t="s">
        <v>657</v>
      </c>
      <c r="G117" s="158">
        <v>7662</v>
      </c>
      <c r="H117" s="158">
        <v>0</v>
      </c>
      <c r="I117" s="158">
        <f t="shared" si="23"/>
        <v>7662</v>
      </c>
      <c r="J117" s="158">
        <v>0</v>
      </c>
      <c r="K117" s="158">
        <f t="shared" si="24"/>
        <v>7330</v>
      </c>
      <c r="L117" s="158">
        <v>0</v>
      </c>
      <c r="M117" s="158">
        <v>7330</v>
      </c>
      <c r="N117" s="158">
        <v>0</v>
      </c>
      <c r="O117" s="158">
        <f aca="true" t="shared" si="25" ref="O117:O128">SUM(P117:R117)</f>
        <v>3000</v>
      </c>
      <c r="P117" s="158">
        <v>0</v>
      </c>
      <c r="Q117" s="158">
        <v>3000</v>
      </c>
      <c r="R117" s="158">
        <v>0</v>
      </c>
      <c r="S117" s="158">
        <f aca="true" t="shared" si="26" ref="S117:S135">SUM(T117:V117)</f>
        <v>1000</v>
      </c>
      <c r="T117" s="158"/>
      <c r="U117" s="158">
        <v>1000</v>
      </c>
      <c r="V117" s="158"/>
      <c r="W117" s="158">
        <f t="shared" si="20"/>
        <v>4420</v>
      </c>
      <c r="X117" s="158"/>
      <c r="Y117" s="158">
        <v>4420</v>
      </c>
      <c r="Z117" s="158"/>
      <c r="AA117" s="212"/>
    </row>
    <row r="118" spans="1:27" ht="34.5" customHeight="1">
      <c r="A118" s="177" t="s">
        <v>719</v>
      </c>
      <c r="B118" s="73" t="s">
        <v>624</v>
      </c>
      <c r="C118" s="72" t="s">
        <v>357</v>
      </c>
      <c r="D118" s="31"/>
      <c r="E118" s="68" t="s">
        <v>392</v>
      </c>
      <c r="F118" s="181" t="s">
        <v>658</v>
      </c>
      <c r="G118" s="158">
        <v>6529</v>
      </c>
      <c r="H118" s="158">
        <v>0</v>
      </c>
      <c r="I118" s="158">
        <f t="shared" si="23"/>
        <v>6529</v>
      </c>
      <c r="J118" s="158">
        <v>0</v>
      </c>
      <c r="K118" s="158">
        <f t="shared" si="24"/>
        <v>6203</v>
      </c>
      <c r="L118" s="158">
        <v>0</v>
      </c>
      <c r="M118" s="158">
        <v>6203</v>
      </c>
      <c r="N118" s="158">
        <v>0</v>
      </c>
      <c r="O118" s="158">
        <f t="shared" si="25"/>
        <v>3170</v>
      </c>
      <c r="P118" s="158">
        <v>0</v>
      </c>
      <c r="Q118" s="158">
        <v>3170</v>
      </c>
      <c r="R118" s="158">
        <v>0</v>
      </c>
      <c r="S118" s="158">
        <f t="shared" si="26"/>
        <v>900</v>
      </c>
      <c r="T118" s="158"/>
      <c r="U118" s="158">
        <v>900</v>
      </c>
      <c r="V118" s="158"/>
      <c r="W118" s="158">
        <f t="shared" si="20"/>
        <v>1171</v>
      </c>
      <c r="X118" s="158"/>
      <c r="Y118" s="158">
        <v>1171</v>
      </c>
      <c r="Z118" s="158"/>
      <c r="AA118" s="212"/>
    </row>
    <row r="119" spans="1:27" ht="24" customHeight="1">
      <c r="A119" s="177" t="s">
        <v>720</v>
      </c>
      <c r="B119" s="73" t="s">
        <v>625</v>
      </c>
      <c r="C119" s="72" t="s">
        <v>353</v>
      </c>
      <c r="D119" s="31"/>
      <c r="E119" s="68" t="s">
        <v>392</v>
      </c>
      <c r="F119" s="181" t="s">
        <v>659</v>
      </c>
      <c r="G119" s="158">
        <v>12410</v>
      </c>
      <c r="H119" s="158">
        <v>0</v>
      </c>
      <c r="I119" s="158">
        <f t="shared" si="23"/>
        <v>12410</v>
      </c>
      <c r="J119" s="158">
        <v>0</v>
      </c>
      <c r="K119" s="158">
        <f t="shared" si="24"/>
        <v>11925</v>
      </c>
      <c r="L119" s="158">
        <v>0</v>
      </c>
      <c r="M119" s="158">
        <v>11925</v>
      </c>
      <c r="N119" s="158">
        <v>0</v>
      </c>
      <c r="O119" s="158">
        <f t="shared" si="25"/>
        <v>4500</v>
      </c>
      <c r="P119" s="158">
        <v>0</v>
      </c>
      <c r="Q119" s="158">
        <v>4500</v>
      </c>
      <c r="R119" s="158">
        <v>0</v>
      </c>
      <c r="S119" s="158">
        <f t="shared" si="26"/>
        <v>1500</v>
      </c>
      <c r="T119" s="158"/>
      <c r="U119" s="158">
        <v>1500</v>
      </c>
      <c r="V119" s="158"/>
      <c r="W119" s="158">
        <f t="shared" si="20"/>
        <v>11686</v>
      </c>
      <c r="X119" s="158"/>
      <c r="Y119" s="158">
        <v>11686</v>
      </c>
      <c r="Z119" s="158"/>
      <c r="AA119" s="212"/>
    </row>
    <row r="120" spans="1:27" ht="38.25" customHeight="1">
      <c r="A120" s="177" t="s">
        <v>721</v>
      </c>
      <c r="B120" s="73" t="s">
        <v>626</v>
      </c>
      <c r="C120" s="72" t="s">
        <v>484</v>
      </c>
      <c r="D120" s="31"/>
      <c r="E120" s="68" t="s">
        <v>660</v>
      </c>
      <c r="F120" s="181" t="s">
        <v>661</v>
      </c>
      <c r="G120" s="158">
        <v>84704</v>
      </c>
      <c r="H120" s="158">
        <v>0</v>
      </c>
      <c r="I120" s="158">
        <f t="shared" si="23"/>
        <v>84704</v>
      </c>
      <c r="J120" s="158">
        <v>0</v>
      </c>
      <c r="K120" s="158">
        <f t="shared" si="24"/>
        <v>80670</v>
      </c>
      <c r="L120" s="158">
        <v>0</v>
      </c>
      <c r="M120" s="158">
        <v>80670</v>
      </c>
      <c r="N120" s="158">
        <v>0</v>
      </c>
      <c r="O120" s="158">
        <f t="shared" si="25"/>
        <v>12521.588</v>
      </c>
      <c r="P120" s="158">
        <v>0</v>
      </c>
      <c r="Q120" s="158">
        <v>12521.588</v>
      </c>
      <c r="R120" s="158">
        <v>0</v>
      </c>
      <c r="S120" s="158">
        <f t="shared" si="26"/>
        <v>3000</v>
      </c>
      <c r="T120" s="158"/>
      <c r="U120" s="158">
        <v>3000</v>
      </c>
      <c r="V120" s="158"/>
      <c r="W120" s="158">
        <f t="shared" si="20"/>
        <v>44730</v>
      </c>
      <c r="X120" s="158"/>
      <c r="Y120" s="158">
        <v>44730</v>
      </c>
      <c r="Z120" s="158"/>
      <c r="AA120" s="212"/>
    </row>
    <row r="121" spans="1:27" ht="38.25" customHeight="1">
      <c r="A121" s="177" t="s">
        <v>722</v>
      </c>
      <c r="B121" s="73" t="s">
        <v>627</v>
      </c>
      <c r="C121" s="72" t="s">
        <v>484</v>
      </c>
      <c r="D121" s="31"/>
      <c r="E121" s="68" t="s">
        <v>662</v>
      </c>
      <c r="F121" s="181" t="s">
        <v>663</v>
      </c>
      <c r="G121" s="158">
        <v>155803</v>
      </c>
      <c r="H121" s="158">
        <v>0</v>
      </c>
      <c r="I121" s="158">
        <f t="shared" si="23"/>
        <v>155803</v>
      </c>
      <c r="J121" s="158">
        <v>0</v>
      </c>
      <c r="K121" s="158">
        <f t="shared" si="24"/>
        <v>147200</v>
      </c>
      <c r="L121" s="158">
        <v>0</v>
      </c>
      <c r="M121" s="158">
        <v>147200</v>
      </c>
      <c r="N121" s="158">
        <v>0</v>
      </c>
      <c r="O121" s="158">
        <f t="shared" si="25"/>
        <v>13695</v>
      </c>
      <c r="P121" s="158">
        <v>0</v>
      </c>
      <c r="Q121" s="158">
        <v>13695</v>
      </c>
      <c r="R121" s="158">
        <v>0</v>
      </c>
      <c r="S121" s="158">
        <f t="shared" si="26"/>
        <v>2000</v>
      </c>
      <c r="T121" s="158"/>
      <c r="U121" s="158">
        <v>2000</v>
      </c>
      <c r="V121" s="158"/>
      <c r="W121" s="158">
        <f t="shared" si="20"/>
        <v>39689</v>
      </c>
      <c r="X121" s="158"/>
      <c r="Y121" s="158">
        <v>39689</v>
      </c>
      <c r="Z121" s="158"/>
      <c r="AA121" s="212"/>
    </row>
    <row r="122" spans="1:27" ht="48.75" customHeight="1">
      <c r="A122" s="177" t="s">
        <v>723</v>
      </c>
      <c r="B122" s="73" t="s">
        <v>628</v>
      </c>
      <c r="C122" s="72" t="s">
        <v>484</v>
      </c>
      <c r="D122" s="31"/>
      <c r="E122" s="68" t="s">
        <v>447</v>
      </c>
      <c r="F122" s="181" t="s">
        <v>664</v>
      </c>
      <c r="G122" s="158">
        <v>14226</v>
      </c>
      <c r="H122" s="158">
        <v>0</v>
      </c>
      <c r="I122" s="158">
        <f t="shared" si="23"/>
        <v>14226</v>
      </c>
      <c r="J122" s="158">
        <v>0</v>
      </c>
      <c r="K122" s="158">
        <f t="shared" si="24"/>
        <v>13219</v>
      </c>
      <c r="L122" s="158">
        <v>0</v>
      </c>
      <c r="M122" s="158">
        <v>13219</v>
      </c>
      <c r="N122" s="158">
        <v>0</v>
      </c>
      <c r="O122" s="158">
        <f t="shared" si="25"/>
        <v>3700</v>
      </c>
      <c r="P122" s="158">
        <v>0</v>
      </c>
      <c r="Q122" s="158">
        <v>3700</v>
      </c>
      <c r="R122" s="158">
        <v>0</v>
      </c>
      <c r="S122" s="158">
        <f t="shared" si="26"/>
        <v>2000</v>
      </c>
      <c r="T122" s="158"/>
      <c r="U122" s="158">
        <v>2000</v>
      </c>
      <c r="V122" s="158"/>
      <c r="W122" s="158">
        <f t="shared" si="20"/>
        <v>313</v>
      </c>
      <c r="X122" s="158"/>
      <c r="Y122" s="158">
        <v>313</v>
      </c>
      <c r="Z122" s="158"/>
      <c r="AA122" s="212"/>
    </row>
    <row r="123" spans="1:27" ht="37.5" customHeight="1">
      <c r="A123" s="177" t="s">
        <v>724</v>
      </c>
      <c r="B123" s="73" t="s">
        <v>629</v>
      </c>
      <c r="C123" s="72" t="s">
        <v>630</v>
      </c>
      <c r="D123" s="31"/>
      <c r="E123" s="68" t="s">
        <v>447</v>
      </c>
      <c r="F123" s="181" t="s">
        <v>665</v>
      </c>
      <c r="G123" s="158">
        <v>2859</v>
      </c>
      <c r="H123" s="158">
        <v>364</v>
      </c>
      <c r="I123" s="158">
        <f t="shared" si="23"/>
        <v>2495</v>
      </c>
      <c r="J123" s="158">
        <v>0</v>
      </c>
      <c r="K123" s="158">
        <f t="shared" si="24"/>
        <v>2647</v>
      </c>
      <c r="L123" s="158">
        <v>364</v>
      </c>
      <c r="M123" s="158">
        <v>2283</v>
      </c>
      <c r="N123" s="158">
        <v>0</v>
      </c>
      <c r="O123" s="158">
        <f t="shared" si="25"/>
        <v>0</v>
      </c>
      <c r="P123" s="158">
        <v>0</v>
      </c>
      <c r="Q123" s="158">
        <v>0</v>
      </c>
      <c r="R123" s="158">
        <v>0</v>
      </c>
      <c r="S123" s="158">
        <f t="shared" si="26"/>
        <v>850</v>
      </c>
      <c r="T123" s="158"/>
      <c r="U123" s="158">
        <v>850</v>
      </c>
      <c r="V123" s="158"/>
      <c r="W123" s="158">
        <f t="shared" si="20"/>
        <v>169</v>
      </c>
      <c r="X123" s="158"/>
      <c r="Y123" s="158">
        <v>169</v>
      </c>
      <c r="Z123" s="158"/>
      <c r="AA123" s="212"/>
    </row>
    <row r="124" spans="1:27" ht="24.75" customHeight="1">
      <c r="A124" s="177" t="s">
        <v>725</v>
      </c>
      <c r="B124" s="73" t="s">
        <v>631</v>
      </c>
      <c r="C124" s="72" t="s">
        <v>632</v>
      </c>
      <c r="D124" s="31"/>
      <c r="E124" s="68" t="s">
        <v>587</v>
      </c>
      <c r="F124" s="181" t="s">
        <v>666</v>
      </c>
      <c r="G124" s="158">
        <v>4237</v>
      </c>
      <c r="H124" s="158">
        <v>0</v>
      </c>
      <c r="I124" s="158">
        <f t="shared" si="23"/>
        <v>4237</v>
      </c>
      <c r="J124" s="158">
        <v>0</v>
      </c>
      <c r="K124" s="158">
        <f t="shared" si="24"/>
        <v>4146</v>
      </c>
      <c r="L124" s="158">
        <v>0</v>
      </c>
      <c r="M124" s="158">
        <v>4146</v>
      </c>
      <c r="N124" s="158">
        <v>0</v>
      </c>
      <c r="O124" s="158">
        <f t="shared" si="25"/>
        <v>0</v>
      </c>
      <c r="P124" s="158">
        <v>0</v>
      </c>
      <c r="Q124" s="158">
        <v>0</v>
      </c>
      <c r="R124" s="158">
        <v>0</v>
      </c>
      <c r="S124" s="158">
        <f t="shared" si="26"/>
        <v>1500</v>
      </c>
      <c r="T124" s="158"/>
      <c r="U124" s="158">
        <v>1500</v>
      </c>
      <c r="V124" s="158"/>
      <c r="W124" s="158">
        <f t="shared" si="20"/>
        <v>0</v>
      </c>
      <c r="X124" s="158"/>
      <c r="Y124" s="158"/>
      <c r="Z124" s="158"/>
      <c r="AA124" s="212"/>
    </row>
    <row r="125" spans="1:27" ht="33.75" customHeight="1">
      <c r="A125" s="177" t="s">
        <v>726</v>
      </c>
      <c r="B125" s="73" t="s">
        <v>633</v>
      </c>
      <c r="C125" s="72" t="s">
        <v>515</v>
      </c>
      <c r="D125" s="31"/>
      <c r="E125" s="68" t="s">
        <v>587</v>
      </c>
      <c r="F125" s="181" t="s">
        <v>667</v>
      </c>
      <c r="G125" s="158">
        <v>4764</v>
      </c>
      <c r="H125" s="158">
        <v>0</v>
      </c>
      <c r="I125" s="158">
        <f t="shared" si="23"/>
        <v>4764</v>
      </c>
      <c r="J125" s="158">
        <v>0</v>
      </c>
      <c r="K125" s="158">
        <f t="shared" si="24"/>
        <v>4668</v>
      </c>
      <c r="L125" s="158">
        <v>0</v>
      </c>
      <c r="M125" s="158">
        <v>4668</v>
      </c>
      <c r="N125" s="158">
        <v>0</v>
      </c>
      <c r="O125" s="158">
        <f t="shared" si="25"/>
        <v>0</v>
      </c>
      <c r="P125" s="158">
        <v>0</v>
      </c>
      <c r="Q125" s="158">
        <v>0</v>
      </c>
      <c r="R125" s="158">
        <v>0</v>
      </c>
      <c r="S125" s="158">
        <f t="shared" si="26"/>
        <v>1700</v>
      </c>
      <c r="T125" s="158"/>
      <c r="U125" s="158">
        <v>1700</v>
      </c>
      <c r="V125" s="158"/>
      <c r="W125" s="158">
        <f t="shared" si="20"/>
        <v>0</v>
      </c>
      <c r="X125" s="158"/>
      <c r="Y125" s="158"/>
      <c r="Z125" s="158"/>
      <c r="AA125" s="212"/>
    </row>
    <row r="126" spans="1:27" ht="33.75" customHeight="1">
      <c r="A126" s="177" t="s">
        <v>727</v>
      </c>
      <c r="B126" s="73" t="s">
        <v>634</v>
      </c>
      <c r="C126" s="72" t="s">
        <v>363</v>
      </c>
      <c r="D126" s="31"/>
      <c r="E126" s="68" t="s">
        <v>447</v>
      </c>
      <c r="F126" s="181" t="s">
        <v>668</v>
      </c>
      <c r="G126" s="158">
        <v>13434</v>
      </c>
      <c r="H126" s="158">
        <v>0</v>
      </c>
      <c r="I126" s="158">
        <f t="shared" si="23"/>
        <v>13434</v>
      </c>
      <c r="J126" s="158">
        <v>0</v>
      </c>
      <c r="K126" s="158">
        <f t="shared" si="24"/>
        <v>13107</v>
      </c>
      <c r="L126" s="158">
        <v>0</v>
      </c>
      <c r="M126" s="158">
        <v>13107</v>
      </c>
      <c r="N126" s="158">
        <v>0</v>
      </c>
      <c r="O126" s="158">
        <f t="shared" si="25"/>
        <v>6000</v>
      </c>
      <c r="P126" s="158">
        <v>0</v>
      </c>
      <c r="Q126" s="158">
        <v>6000</v>
      </c>
      <c r="R126" s="158">
        <v>0</v>
      </c>
      <c r="S126" s="158">
        <f t="shared" si="26"/>
        <v>2000</v>
      </c>
      <c r="T126" s="158"/>
      <c r="U126" s="158">
        <v>2000</v>
      </c>
      <c r="V126" s="158"/>
      <c r="W126" s="158">
        <f t="shared" si="20"/>
        <v>2452</v>
      </c>
      <c r="X126" s="158"/>
      <c r="Y126" s="158">
        <v>2452</v>
      </c>
      <c r="Z126" s="158"/>
      <c r="AA126" s="212"/>
    </row>
    <row r="127" spans="1:27" ht="37.5" customHeight="1">
      <c r="A127" s="177" t="s">
        <v>728</v>
      </c>
      <c r="B127" s="73" t="s">
        <v>635</v>
      </c>
      <c r="C127" s="72"/>
      <c r="D127" s="31"/>
      <c r="E127" s="68"/>
      <c r="F127" s="181"/>
      <c r="G127" s="158">
        <v>4257</v>
      </c>
      <c r="H127" s="158">
        <v>0</v>
      </c>
      <c r="I127" s="158">
        <f>G127-H127-J127</f>
        <v>4257</v>
      </c>
      <c r="J127" s="158">
        <v>0</v>
      </c>
      <c r="K127" s="158">
        <f t="shared" si="24"/>
        <v>4257</v>
      </c>
      <c r="L127" s="158">
        <v>0</v>
      </c>
      <c r="M127" s="158">
        <v>4257</v>
      </c>
      <c r="N127" s="158">
        <v>0</v>
      </c>
      <c r="O127" s="158">
        <f t="shared" si="25"/>
        <v>2257</v>
      </c>
      <c r="P127" s="158">
        <v>0</v>
      </c>
      <c r="Q127" s="158">
        <v>2257</v>
      </c>
      <c r="R127" s="158">
        <v>0</v>
      </c>
      <c r="S127" s="158">
        <f t="shared" si="26"/>
        <v>2000</v>
      </c>
      <c r="T127" s="158"/>
      <c r="U127" s="158">
        <v>2000</v>
      </c>
      <c r="V127" s="158"/>
      <c r="W127" s="158">
        <f t="shared" si="20"/>
        <v>2834</v>
      </c>
      <c r="X127" s="158"/>
      <c r="Y127" s="158">
        <v>2834</v>
      </c>
      <c r="Z127" s="158"/>
      <c r="AA127" s="212"/>
    </row>
    <row r="128" spans="1:27" ht="35.25" customHeight="1">
      <c r="A128" s="177" t="s">
        <v>729</v>
      </c>
      <c r="B128" s="73" t="s">
        <v>669</v>
      </c>
      <c r="C128" s="72" t="s">
        <v>357</v>
      </c>
      <c r="D128" s="31"/>
      <c r="E128" s="68"/>
      <c r="F128" s="181"/>
      <c r="G128" s="158">
        <v>4500</v>
      </c>
      <c r="H128" s="158"/>
      <c r="I128" s="158">
        <v>2300</v>
      </c>
      <c r="J128" s="158">
        <v>2200</v>
      </c>
      <c r="K128" s="158">
        <f t="shared" si="24"/>
        <v>4500</v>
      </c>
      <c r="L128" s="158"/>
      <c r="M128" s="158">
        <v>2300</v>
      </c>
      <c r="N128" s="158">
        <v>2200</v>
      </c>
      <c r="O128" s="158">
        <f t="shared" si="25"/>
        <v>2340</v>
      </c>
      <c r="P128" s="158"/>
      <c r="Q128" s="158">
        <v>2300</v>
      </c>
      <c r="R128" s="158">
        <v>40</v>
      </c>
      <c r="S128" s="158">
        <f t="shared" si="26"/>
        <v>2160</v>
      </c>
      <c r="T128" s="158"/>
      <c r="U128" s="158"/>
      <c r="V128" s="158">
        <v>2160</v>
      </c>
      <c r="W128" s="158">
        <f t="shared" si="20"/>
        <v>2690</v>
      </c>
      <c r="X128" s="158"/>
      <c r="Y128" s="158">
        <v>1345</v>
      </c>
      <c r="Z128" s="158">
        <v>1345</v>
      </c>
      <c r="AA128" s="212"/>
    </row>
    <row r="129" spans="1:27" ht="25.5" customHeight="1">
      <c r="A129" s="177" t="s">
        <v>730</v>
      </c>
      <c r="B129" s="73" t="s">
        <v>670</v>
      </c>
      <c r="C129" s="68" t="s">
        <v>674</v>
      </c>
      <c r="D129" s="31"/>
      <c r="E129" s="68"/>
      <c r="F129" s="181"/>
      <c r="G129" s="158">
        <v>13460</v>
      </c>
      <c r="H129" s="158"/>
      <c r="I129" s="158">
        <v>13460</v>
      </c>
      <c r="J129" s="158"/>
      <c r="K129" s="158">
        <f t="shared" si="24"/>
        <v>10000</v>
      </c>
      <c r="L129" s="158"/>
      <c r="M129" s="158">
        <v>10000</v>
      </c>
      <c r="N129" s="158"/>
      <c r="O129" s="158"/>
      <c r="P129" s="158"/>
      <c r="Q129" s="158"/>
      <c r="R129" s="158"/>
      <c r="S129" s="158">
        <f t="shared" si="26"/>
        <v>10000</v>
      </c>
      <c r="T129" s="158"/>
      <c r="U129" s="158">
        <v>10000</v>
      </c>
      <c r="V129" s="158"/>
      <c r="W129" s="158">
        <f t="shared" si="20"/>
        <v>0</v>
      </c>
      <c r="X129" s="158"/>
      <c r="Y129" s="158"/>
      <c r="Z129" s="158"/>
      <c r="AA129" s="212"/>
    </row>
    <row r="130" spans="1:27" ht="25.5" customHeight="1">
      <c r="A130" s="177" t="s">
        <v>731</v>
      </c>
      <c r="B130" s="73" t="s">
        <v>671</v>
      </c>
      <c r="C130" s="68" t="s">
        <v>353</v>
      </c>
      <c r="D130" s="31"/>
      <c r="E130" s="68"/>
      <c r="F130" s="181"/>
      <c r="G130" s="158">
        <v>12797</v>
      </c>
      <c r="H130" s="158"/>
      <c r="I130" s="158">
        <v>12797</v>
      </c>
      <c r="J130" s="158"/>
      <c r="K130" s="158">
        <f t="shared" si="24"/>
        <v>4000</v>
      </c>
      <c r="L130" s="158"/>
      <c r="M130" s="158">
        <v>4000</v>
      </c>
      <c r="N130" s="158"/>
      <c r="O130" s="158"/>
      <c r="P130" s="158"/>
      <c r="Q130" s="158"/>
      <c r="R130" s="158"/>
      <c r="S130" s="158">
        <f t="shared" si="26"/>
        <v>4000</v>
      </c>
      <c r="T130" s="158"/>
      <c r="U130" s="158">
        <v>4000</v>
      </c>
      <c r="V130" s="158"/>
      <c r="W130" s="158">
        <f t="shared" si="20"/>
        <v>0</v>
      </c>
      <c r="X130" s="158"/>
      <c r="Y130" s="158"/>
      <c r="Z130" s="158"/>
      <c r="AA130" s="212"/>
    </row>
    <row r="131" spans="1:27" ht="25.5" customHeight="1">
      <c r="A131" s="177" t="s">
        <v>732</v>
      </c>
      <c r="B131" s="73" t="s">
        <v>675</v>
      </c>
      <c r="C131" s="68" t="s">
        <v>363</v>
      </c>
      <c r="D131" s="31"/>
      <c r="E131" s="68"/>
      <c r="F131" s="181"/>
      <c r="G131" s="158">
        <f>SUM(H131:J131)</f>
        <v>14993</v>
      </c>
      <c r="H131" s="158"/>
      <c r="I131" s="158">
        <v>14993</v>
      </c>
      <c r="J131" s="158"/>
      <c r="K131" s="158">
        <f t="shared" si="24"/>
        <v>2000</v>
      </c>
      <c r="L131" s="158"/>
      <c r="M131" s="158">
        <v>2000</v>
      </c>
      <c r="N131" s="158"/>
      <c r="O131" s="158"/>
      <c r="P131" s="158"/>
      <c r="Q131" s="158"/>
      <c r="R131" s="158"/>
      <c r="S131" s="158">
        <f t="shared" si="26"/>
        <v>2000</v>
      </c>
      <c r="T131" s="158"/>
      <c r="U131" s="158">
        <v>2000</v>
      </c>
      <c r="V131" s="158"/>
      <c r="W131" s="158">
        <f t="shared" si="20"/>
        <v>229</v>
      </c>
      <c r="X131" s="158"/>
      <c r="Y131" s="158">
        <v>229</v>
      </c>
      <c r="Z131" s="158"/>
      <c r="AA131" s="212"/>
    </row>
    <row r="132" spans="1:27" ht="25.5" customHeight="1">
      <c r="A132" s="177" t="s">
        <v>733</v>
      </c>
      <c r="B132" s="73" t="s">
        <v>676</v>
      </c>
      <c r="C132" s="68" t="s">
        <v>363</v>
      </c>
      <c r="D132" s="31"/>
      <c r="E132" s="68"/>
      <c r="F132" s="181"/>
      <c r="G132" s="158">
        <f>SUM(H132:J132)</f>
        <v>13857</v>
      </c>
      <c r="H132" s="158"/>
      <c r="I132" s="158">
        <v>13857</v>
      </c>
      <c r="J132" s="158"/>
      <c r="K132" s="158">
        <f t="shared" si="24"/>
        <v>2000</v>
      </c>
      <c r="L132" s="158"/>
      <c r="M132" s="158">
        <v>2000</v>
      </c>
      <c r="N132" s="158"/>
      <c r="O132" s="158"/>
      <c r="P132" s="158"/>
      <c r="Q132" s="158"/>
      <c r="R132" s="158"/>
      <c r="S132" s="158">
        <f t="shared" si="26"/>
        <v>2000</v>
      </c>
      <c r="T132" s="158"/>
      <c r="U132" s="158">
        <v>2000</v>
      </c>
      <c r="V132" s="158"/>
      <c r="W132" s="158">
        <f t="shared" si="20"/>
        <v>255</v>
      </c>
      <c r="X132" s="158"/>
      <c r="Y132" s="158">
        <v>255</v>
      </c>
      <c r="Z132" s="158"/>
      <c r="AA132" s="212"/>
    </row>
    <row r="133" spans="1:27" ht="37.5" customHeight="1">
      <c r="A133" s="177" t="s">
        <v>734</v>
      </c>
      <c r="B133" s="73" t="s">
        <v>677</v>
      </c>
      <c r="C133" s="68" t="s">
        <v>364</v>
      </c>
      <c r="D133" s="31"/>
      <c r="E133" s="68"/>
      <c r="F133" s="181"/>
      <c r="G133" s="158">
        <f>SUM(H133:J133)</f>
        <v>4182</v>
      </c>
      <c r="H133" s="158"/>
      <c r="I133" s="158">
        <v>4182</v>
      </c>
      <c r="J133" s="158"/>
      <c r="K133" s="158">
        <f t="shared" si="24"/>
        <v>2000</v>
      </c>
      <c r="L133" s="158"/>
      <c r="M133" s="158">
        <v>2000</v>
      </c>
      <c r="N133" s="158"/>
      <c r="O133" s="158"/>
      <c r="P133" s="158"/>
      <c r="Q133" s="158"/>
      <c r="R133" s="158"/>
      <c r="S133" s="158">
        <f t="shared" si="26"/>
        <v>2000</v>
      </c>
      <c r="T133" s="158"/>
      <c r="U133" s="158">
        <v>2000</v>
      </c>
      <c r="V133" s="158"/>
      <c r="W133" s="158">
        <f t="shared" si="20"/>
        <v>0</v>
      </c>
      <c r="X133" s="158"/>
      <c r="Y133" s="158"/>
      <c r="Z133" s="158"/>
      <c r="AA133" s="212"/>
    </row>
    <row r="134" spans="1:27" ht="30" customHeight="1">
      <c r="A134" s="177" t="s">
        <v>735</v>
      </c>
      <c r="B134" s="73" t="s">
        <v>678</v>
      </c>
      <c r="C134" s="68" t="s">
        <v>356</v>
      </c>
      <c r="D134" s="31"/>
      <c r="E134" s="68"/>
      <c r="F134" s="181"/>
      <c r="G134" s="158">
        <f>SUM(H134:J134)</f>
        <v>7548</v>
      </c>
      <c r="H134" s="158"/>
      <c r="I134" s="158">
        <v>7548</v>
      </c>
      <c r="J134" s="158"/>
      <c r="K134" s="158">
        <f t="shared" si="24"/>
        <v>3000</v>
      </c>
      <c r="L134" s="158"/>
      <c r="M134" s="158">
        <v>3000</v>
      </c>
      <c r="N134" s="158"/>
      <c r="O134" s="158"/>
      <c r="P134" s="158"/>
      <c r="Q134" s="158"/>
      <c r="R134" s="158"/>
      <c r="S134" s="158">
        <f t="shared" si="26"/>
        <v>3000</v>
      </c>
      <c r="T134" s="158"/>
      <c r="U134" s="158">
        <v>3000</v>
      </c>
      <c r="V134" s="158"/>
      <c r="W134" s="158">
        <f t="shared" si="20"/>
        <v>0</v>
      </c>
      <c r="X134" s="158"/>
      <c r="Y134" s="158"/>
      <c r="Z134" s="158"/>
      <c r="AA134" s="212"/>
    </row>
    <row r="135" spans="1:27" ht="38.25" customHeight="1">
      <c r="A135" s="177" t="s">
        <v>736</v>
      </c>
      <c r="B135" s="73" t="s">
        <v>679</v>
      </c>
      <c r="C135" s="68" t="s">
        <v>458</v>
      </c>
      <c r="D135" s="31"/>
      <c r="E135" s="68"/>
      <c r="F135" s="181"/>
      <c r="G135" s="158">
        <f>SUM(H135:J135)</f>
        <v>1268</v>
      </c>
      <c r="H135" s="158"/>
      <c r="I135" s="158">
        <v>1268</v>
      </c>
      <c r="J135" s="158"/>
      <c r="K135" s="158">
        <f t="shared" si="24"/>
        <v>500</v>
      </c>
      <c r="L135" s="158"/>
      <c r="M135" s="158">
        <v>500</v>
      </c>
      <c r="N135" s="158"/>
      <c r="O135" s="158"/>
      <c r="P135" s="158"/>
      <c r="Q135" s="158"/>
      <c r="R135" s="158"/>
      <c r="S135" s="158">
        <f t="shared" si="26"/>
        <v>500</v>
      </c>
      <c r="T135" s="158"/>
      <c r="U135" s="158">
        <v>500</v>
      </c>
      <c r="V135" s="158"/>
      <c r="W135" s="158">
        <f t="shared" si="20"/>
        <v>0</v>
      </c>
      <c r="X135" s="158"/>
      <c r="Y135" s="158"/>
      <c r="Z135" s="158"/>
      <c r="AA135" s="212"/>
    </row>
    <row r="136" spans="1:27" s="156" customFormat="1" ht="23.25" customHeight="1">
      <c r="A136" s="216" t="s">
        <v>11</v>
      </c>
      <c r="B136" s="176" t="s">
        <v>737</v>
      </c>
      <c r="C136" s="217"/>
      <c r="D136" s="217"/>
      <c r="E136" s="217"/>
      <c r="F136" s="217"/>
      <c r="G136" s="218">
        <f>SUM(G137:G162)</f>
        <v>55618</v>
      </c>
      <c r="H136" s="218">
        <f aca="true" t="shared" si="27" ref="H136:Z136">SUM(H137:H162)</f>
        <v>139</v>
      </c>
      <c r="I136" s="218">
        <f t="shared" si="27"/>
        <v>55479</v>
      </c>
      <c r="J136" s="218">
        <f t="shared" si="27"/>
        <v>0</v>
      </c>
      <c r="K136" s="218">
        <f t="shared" si="27"/>
        <v>40871</v>
      </c>
      <c r="L136" s="218">
        <f t="shared" si="27"/>
        <v>139</v>
      </c>
      <c r="M136" s="218">
        <f t="shared" si="27"/>
        <v>40732</v>
      </c>
      <c r="N136" s="218">
        <f t="shared" si="27"/>
        <v>0</v>
      </c>
      <c r="O136" s="218">
        <f t="shared" si="27"/>
        <v>14759</v>
      </c>
      <c r="P136" s="218">
        <f t="shared" si="27"/>
        <v>139</v>
      </c>
      <c r="Q136" s="218">
        <f t="shared" si="27"/>
        <v>14620</v>
      </c>
      <c r="R136" s="218">
        <f t="shared" si="27"/>
        <v>0</v>
      </c>
      <c r="S136" s="218">
        <f t="shared" si="27"/>
        <v>14826</v>
      </c>
      <c r="T136" s="218">
        <f t="shared" si="27"/>
        <v>0</v>
      </c>
      <c r="U136" s="218">
        <f t="shared" si="27"/>
        <v>14826</v>
      </c>
      <c r="V136" s="218">
        <f t="shared" si="27"/>
        <v>0</v>
      </c>
      <c r="W136" s="218">
        <f t="shared" si="27"/>
        <v>29871</v>
      </c>
      <c r="X136" s="218">
        <f t="shared" si="27"/>
        <v>139</v>
      </c>
      <c r="Y136" s="218">
        <f t="shared" si="27"/>
        <v>29732</v>
      </c>
      <c r="Z136" s="218">
        <f t="shared" si="27"/>
        <v>0</v>
      </c>
      <c r="AA136" s="213"/>
    </row>
    <row r="137" spans="1:27" ht="40.5" customHeight="1">
      <c r="A137" s="177" t="s">
        <v>368</v>
      </c>
      <c r="B137" s="73" t="s">
        <v>738</v>
      </c>
      <c r="C137" s="68" t="s">
        <v>352</v>
      </c>
      <c r="D137" s="31"/>
      <c r="E137" s="68">
        <v>2019</v>
      </c>
      <c r="F137" s="181" t="s">
        <v>743</v>
      </c>
      <c r="G137" s="158">
        <v>1052</v>
      </c>
      <c r="H137" s="158">
        <v>0</v>
      </c>
      <c r="I137" s="158">
        <v>1052</v>
      </c>
      <c r="J137" s="158">
        <v>0</v>
      </c>
      <c r="K137" s="158">
        <v>1052</v>
      </c>
      <c r="L137" s="158">
        <v>0</v>
      </c>
      <c r="M137" s="158">
        <v>1052</v>
      </c>
      <c r="N137" s="158">
        <v>0</v>
      </c>
      <c r="O137" s="158">
        <f>SUM(P137:R137)</f>
        <v>920</v>
      </c>
      <c r="P137" s="158">
        <v>0</v>
      </c>
      <c r="Q137" s="158">
        <v>920</v>
      </c>
      <c r="R137" s="158">
        <v>0</v>
      </c>
      <c r="S137" s="158">
        <f>SUM(T137:V137)</f>
        <v>132</v>
      </c>
      <c r="T137" s="158"/>
      <c r="U137" s="158">
        <v>132</v>
      </c>
      <c r="V137" s="158"/>
      <c r="W137" s="158">
        <f t="shared" si="20"/>
        <v>1052</v>
      </c>
      <c r="X137" s="158">
        <v>0</v>
      </c>
      <c r="Y137" s="158">
        <v>1052</v>
      </c>
      <c r="Z137" s="158">
        <v>0</v>
      </c>
      <c r="AA137" s="212"/>
    </row>
    <row r="138" spans="1:27" ht="27.75" customHeight="1">
      <c r="A138" s="177" t="s">
        <v>370</v>
      </c>
      <c r="B138" s="73" t="s">
        <v>740</v>
      </c>
      <c r="C138" s="68" t="s">
        <v>363</v>
      </c>
      <c r="D138" s="31"/>
      <c r="E138" s="68">
        <v>2019</v>
      </c>
      <c r="F138" s="181" t="s">
        <v>745</v>
      </c>
      <c r="G138" s="158">
        <v>1747</v>
      </c>
      <c r="H138" s="158">
        <v>0</v>
      </c>
      <c r="I138" s="158">
        <v>1747</v>
      </c>
      <c r="J138" s="158">
        <v>0</v>
      </c>
      <c r="K138" s="158">
        <v>1747</v>
      </c>
      <c r="L138" s="158">
        <v>0</v>
      </c>
      <c r="M138" s="158">
        <v>1747</v>
      </c>
      <c r="N138" s="158">
        <v>0</v>
      </c>
      <c r="O138" s="158">
        <f>SUM(P138:R138)</f>
        <v>1533</v>
      </c>
      <c r="P138" s="158">
        <v>0</v>
      </c>
      <c r="Q138" s="158">
        <v>1533</v>
      </c>
      <c r="R138" s="158">
        <v>0</v>
      </c>
      <c r="S138" s="158">
        <f>SUM(T138:V138)</f>
        <v>214</v>
      </c>
      <c r="T138" s="158"/>
      <c r="U138" s="158">
        <v>214</v>
      </c>
      <c r="V138" s="158"/>
      <c r="W138" s="158">
        <f t="shared" si="20"/>
        <v>1747</v>
      </c>
      <c r="X138" s="158">
        <v>0</v>
      </c>
      <c r="Y138" s="158">
        <v>1747</v>
      </c>
      <c r="Z138" s="158">
        <v>0</v>
      </c>
      <c r="AA138" s="212"/>
    </row>
    <row r="139" spans="1:27" ht="49.5" customHeight="1">
      <c r="A139" s="177" t="s">
        <v>372</v>
      </c>
      <c r="B139" s="73" t="s">
        <v>741</v>
      </c>
      <c r="C139" s="68" t="s">
        <v>352</v>
      </c>
      <c r="D139" s="31"/>
      <c r="E139" s="68">
        <v>2019</v>
      </c>
      <c r="F139" s="181" t="s">
        <v>746</v>
      </c>
      <c r="G139" s="158">
        <v>1104</v>
      </c>
      <c r="H139" s="158">
        <v>139</v>
      </c>
      <c r="I139" s="158">
        <f>G139-H139</f>
        <v>965</v>
      </c>
      <c r="J139" s="158">
        <v>0</v>
      </c>
      <c r="K139" s="158">
        <v>1051</v>
      </c>
      <c r="L139" s="158">
        <v>139</v>
      </c>
      <c r="M139" s="158">
        <v>912</v>
      </c>
      <c r="N139" s="158">
        <v>0</v>
      </c>
      <c r="O139" s="158">
        <f>SUM(P139:R139)</f>
        <v>534</v>
      </c>
      <c r="P139" s="158">
        <v>139</v>
      </c>
      <c r="Q139" s="158">
        <v>395</v>
      </c>
      <c r="R139" s="158">
        <v>0</v>
      </c>
      <c r="S139" s="158">
        <f>SUM(T139:V139)</f>
        <v>517</v>
      </c>
      <c r="T139" s="158"/>
      <c r="U139" s="158">
        <v>517</v>
      </c>
      <c r="V139" s="158"/>
      <c r="W139" s="158">
        <f t="shared" si="20"/>
        <v>1051</v>
      </c>
      <c r="X139" s="158">
        <v>139</v>
      </c>
      <c r="Y139" s="158">
        <v>912</v>
      </c>
      <c r="Z139" s="158">
        <v>0</v>
      </c>
      <c r="AA139" s="212"/>
    </row>
    <row r="140" spans="1:27" ht="45.75" customHeight="1">
      <c r="A140" s="177" t="s">
        <v>374</v>
      </c>
      <c r="B140" s="73" t="s">
        <v>748</v>
      </c>
      <c r="C140" s="68" t="s">
        <v>364</v>
      </c>
      <c r="D140" s="31"/>
      <c r="E140" s="68">
        <v>2019</v>
      </c>
      <c r="F140" s="181" t="s">
        <v>768</v>
      </c>
      <c r="G140" s="158">
        <v>3050</v>
      </c>
      <c r="H140" s="158">
        <v>0</v>
      </c>
      <c r="I140" s="158">
        <v>3050</v>
      </c>
      <c r="J140" s="158">
        <v>0</v>
      </c>
      <c r="K140" s="158">
        <v>3050</v>
      </c>
      <c r="L140" s="158">
        <v>0</v>
      </c>
      <c r="M140" s="158">
        <v>3050</v>
      </c>
      <c r="N140" s="158">
        <v>0</v>
      </c>
      <c r="O140" s="158">
        <f aca="true" t="shared" si="28" ref="O140:O162">SUM(P140:R140)</f>
        <v>1480</v>
      </c>
      <c r="P140" s="158"/>
      <c r="Q140" s="158">
        <v>1480</v>
      </c>
      <c r="R140" s="158"/>
      <c r="S140" s="158">
        <f aca="true" t="shared" si="29" ref="S140:S162">SUM(T140:V140)</f>
        <v>800</v>
      </c>
      <c r="T140" s="158"/>
      <c r="U140" s="158">
        <v>800</v>
      </c>
      <c r="V140" s="158"/>
      <c r="W140" s="158">
        <f t="shared" si="20"/>
        <v>3050</v>
      </c>
      <c r="X140" s="158">
        <v>0</v>
      </c>
      <c r="Y140" s="158">
        <v>3050</v>
      </c>
      <c r="Z140" s="158">
        <v>0</v>
      </c>
      <c r="AA140" s="212"/>
    </row>
    <row r="141" spans="1:27" ht="29.25" customHeight="1">
      <c r="A141" s="177" t="s">
        <v>376</v>
      </c>
      <c r="B141" s="73" t="s">
        <v>749</v>
      </c>
      <c r="C141" s="68" t="s">
        <v>537</v>
      </c>
      <c r="D141" s="31"/>
      <c r="E141" s="68" t="s">
        <v>769</v>
      </c>
      <c r="F141" s="181" t="s">
        <v>770</v>
      </c>
      <c r="G141" s="158">
        <v>7697</v>
      </c>
      <c r="H141" s="158">
        <v>0</v>
      </c>
      <c r="I141" s="158">
        <v>7697</v>
      </c>
      <c r="J141" s="158">
        <v>0</v>
      </c>
      <c r="K141" s="158">
        <v>6249</v>
      </c>
      <c r="L141" s="158">
        <v>0</v>
      </c>
      <c r="M141" s="158">
        <v>6249</v>
      </c>
      <c r="N141" s="158">
        <v>0</v>
      </c>
      <c r="O141" s="158">
        <f t="shared" si="28"/>
        <v>2100</v>
      </c>
      <c r="P141" s="158"/>
      <c r="Q141" s="158">
        <v>2100</v>
      </c>
      <c r="R141" s="158"/>
      <c r="S141" s="158">
        <f t="shared" si="29"/>
        <v>2000</v>
      </c>
      <c r="T141" s="158"/>
      <c r="U141" s="158">
        <v>2000</v>
      </c>
      <c r="V141" s="158"/>
      <c r="W141" s="158">
        <f t="shared" si="20"/>
        <v>6249</v>
      </c>
      <c r="X141" s="158">
        <v>0</v>
      </c>
      <c r="Y141" s="158">
        <v>6249</v>
      </c>
      <c r="Z141" s="158">
        <v>0</v>
      </c>
      <c r="AA141" s="212"/>
    </row>
    <row r="142" spans="1:27" ht="29.25" customHeight="1">
      <c r="A142" s="177" t="s">
        <v>399</v>
      </c>
      <c r="B142" s="73" t="s">
        <v>750</v>
      </c>
      <c r="C142" s="68" t="s">
        <v>350</v>
      </c>
      <c r="D142" s="31"/>
      <c r="E142" s="68" t="s">
        <v>769</v>
      </c>
      <c r="F142" s="181" t="s">
        <v>771</v>
      </c>
      <c r="G142" s="158">
        <v>495</v>
      </c>
      <c r="H142" s="158">
        <v>0</v>
      </c>
      <c r="I142" s="158">
        <v>495</v>
      </c>
      <c r="J142" s="158">
        <v>0</v>
      </c>
      <c r="K142" s="158">
        <v>471</v>
      </c>
      <c r="L142" s="158">
        <v>0</v>
      </c>
      <c r="M142" s="158">
        <v>471</v>
      </c>
      <c r="N142" s="158">
        <v>0</v>
      </c>
      <c r="O142" s="158">
        <f t="shared" si="28"/>
        <v>339</v>
      </c>
      <c r="P142" s="158"/>
      <c r="Q142" s="158">
        <v>339</v>
      </c>
      <c r="R142" s="158"/>
      <c r="S142" s="158">
        <f t="shared" si="29"/>
        <v>132</v>
      </c>
      <c r="T142" s="158"/>
      <c r="U142" s="158">
        <v>132</v>
      </c>
      <c r="V142" s="158"/>
      <c r="W142" s="158">
        <f t="shared" si="20"/>
        <v>471</v>
      </c>
      <c r="X142" s="158">
        <v>0</v>
      </c>
      <c r="Y142" s="158">
        <v>471</v>
      </c>
      <c r="Z142" s="158">
        <v>0</v>
      </c>
      <c r="AA142" s="212"/>
    </row>
    <row r="143" spans="1:27" ht="29.25" customHeight="1">
      <c r="A143" s="177" t="s">
        <v>400</v>
      </c>
      <c r="B143" s="73" t="s">
        <v>751</v>
      </c>
      <c r="C143" s="68" t="s">
        <v>364</v>
      </c>
      <c r="D143" s="31"/>
      <c r="E143" s="68" t="s">
        <v>769</v>
      </c>
      <c r="F143" s="181" t="s">
        <v>772</v>
      </c>
      <c r="G143" s="158">
        <v>2791</v>
      </c>
      <c r="H143" s="158">
        <v>0</v>
      </c>
      <c r="I143" s="158">
        <v>2791</v>
      </c>
      <c r="J143" s="158">
        <v>0</v>
      </c>
      <c r="K143" s="158">
        <v>2750</v>
      </c>
      <c r="L143" s="158">
        <v>0</v>
      </c>
      <c r="M143" s="158">
        <v>2750</v>
      </c>
      <c r="N143" s="158">
        <v>0</v>
      </c>
      <c r="O143" s="158">
        <f t="shared" si="28"/>
        <v>1715</v>
      </c>
      <c r="P143" s="158"/>
      <c r="Q143" s="158">
        <v>1715</v>
      </c>
      <c r="R143" s="158"/>
      <c r="S143" s="158">
        <f t="shared" si="29"/>
        <v>500</v>
      </c>
      <c r="T143" s="158"/>
      <c r="U143" s="158">
        <v>500</v>
      </c>
      <c r="V143" s="158"/>
      <c r="W143" s="158">
        <f t="shared" si="20"/>
        <v>2750</v>
      </c>
      <c r="X143" s="158">
        <v>0</v>
      </c>
      <c r="Y143" s="158">
        <v>2750</v>
      </c>
      <c r="Z143" s="158">
        <v>0</v>
      </c>
      <c r="AA143" s="212"/>
    </row>
    <row r="144" spans="1:27" ht="29.25" customHeight="1">
      <c r="A144" s="177" t="s">
        <v>401</v>
      </c>
      <c r="B144" s="73" t="s">
        <v>752</v>
      </c>
      <c r="C144" s="68" t="s">
        <v>362</v>
      </c>
      <c r="D144" s="31"/>
      <c r="E144" s="68" t="s">
        <v>773</v>
      </c>
      <c r="F144" s="181" t="s">
        <v>774</v>
      </c>
      <c r="G144" s="158">
        <v>914</v>
      </c>
      <c r="H144" s="158">
        <v>0</v>
      </c>
      <c r="I144" s="158">
        <v>914</v>
      </c>
      <c r="J144" s="158">
        <v>0</v>
      </c>
      <c r="K144" s="158">
        <v>879</v>
      </c>
      <c r="L144" s="158">
        <v>0</v>
      </c>
      <c r="M144" s="158">
        <v>879</v>
      </c>
      <c r="N144" s="158">
        <v>0</v>
      </c>
      <c r="O144" s="158">
        <f t="shared" si="28"/>
        <v>525</v>
      </c>
      <c r="P144" s="158"/>
      <c r="Q144" s="158">
        <v>525</v>
      </c>
      <c r="R144" s="158"/>
      <c r="S144" s="158">
        <f t="shared" si="29"/>
        <v>354</v>
      </c>
      <c r="T144" s="158"/>
      <c r="U144" s="158">
        <v>354</v>
      </c>
      <c r="V144" s="158"/>
      <c r="W144" s="158">
        <f aca="true" t="shared" si="30" ref="W144:W196">SUM(X144:Z144)</f>
        <v>879</v>
      </c>
      <c r="X144" s="158">
        <v>0</v>
      </c>
      <c r="Y144" s="158">
        <v>879</v>
      </c>
      <c r="Z144" s="158">
        <v>0</v>
      </c>
      <c r="AA144" s="212"/>
    </row>
    <row r="145" spans="1:27" ht="24" customHeight="1">
      <c r="A145" s="177" t="s">
        <v>402</v>
      </c>
      <c r="B145" s="73" t="s">
        <v>753</v>
      </c>
      <c r="C145" s="68" t="s">
        <v>357</v>
      </c>
      <c r="D145" s="31"/>
      <c r="E145" s="68" t="s">
        <v>773</v>
      </c>
      <c r="F145" s="181" t="s">
        <v>775</v>
      </c>
      <c r="G145" s="158">
        <v>1061</v>
      </c>
      <c r="H145" s="158">
        <v>0</v>
      </c>
      <c r="I145" s="158">
        <v>1061</v>
      </c>
      <c r="J145" s="158">
        <v>0</v>
      </c>
      <c r="K145" s="158">
        <v>1046</v>
      </c>
      <c r="L145" s="158">
        <v>0</v>
      </c>
      <c r="M145" s="158">
        <v>1046</v>
      </c>
      <c r="N145" s="158">
        <v>0</v>
      </c>
      <c r="O145" s="158">
        <f t="shared" si="28"/>
        <v>613</v>
      </c>
      <c r="P145" s="158"/>
      <c r="Q145" s="158">
        <v>613</v>
      </c>
      <c r="R145" s="158"/>
      <c r="S145" s="158">
        <f t="shared" si="29"/>
        <v>433</v>
      </c>
      <c r="T145" s="158"/>
      <c r="U145" s="158">
        <v>433</v>
      </c>
      <c r="V145" s="158"/>
      <c r="W145" s="158">
        <f t="shared" si="30"/>
        <v>1046</v>
      </c>
      <c r="X145" s="158">
        <v>0</v>
      </c>
      <c r="Y145" s="158">
        <v>1046</v>
      </c>
      <c r="Z145" s="158">
        <v>0</v>
      </c>
      <c r="AA145" s="212"/>
    </row>
    <row r="146" spans="1:27" ht="39" customHeight="1">
      <c r="A146" s="177" t="s">
        <v>403</v>
      </c>
      <c r="B146" s="73" t="s">
        <v>754</v>
      </c>
      <c r="C146" s="68" t="s">
        <v>537</v>
      </c>
      <c r="D146" s="31"/>
      <c r="E146" s="68">
        <v>2020</v>
      </c>
      <c r="F146" s="181" t="s">
        <v>776</v>
      </c>
      <c r="G146" s="158">
        <v>860</v>
      </c>
      <c r="H146" s="158">
        <v>0</v>
      </c>
      <c r="I146" s="158">
        <v>860</v>
      </c>
      <c r="J146" s="158">
        <v>0</v>
      </c>
      <c r="K146" s="158">
        <v>643</v>
      </c>
      <c r="L146" s="158">
        <v>0</v>
      </c>
      <c r="M146" s="158">
        <v>643</v>
      </c>
      <c r="N146" s="158">
        <v>0</v>
      </c>
      <c r="O146" s="158">
        <f t="shared" si="28"/>
        <v>350</v>
      </c>
      <c r="P146" s="158"/>
      <c r="Q146" s="158">
        <v>350</v>
      </c>
      <c r="R146" s="158"/>
      <c r="S146" s="158">
        <f t="shared" si="29"/>
        <v>293</v>
      </c>
      <c r="T146" s="158"/>
      <c r="U146" s="158">
        <v>293</v>
      </c>
      <c r="V146" s="158"/>
      <c r="W146" s="158">
        <f t="shared" si="30"/>
        <v>643</v>
      </c>
      <c r="X146" s="158">
        <v>0</v>
      </c>
      <c r="Y146" s="158">
        <v>643</v>
      </c>
      <c r="Z146" s="158">
        <v>0</v>
      </c>
      <c r="AA146" s="212"/>
    </row>
    <row r="147" spans="1:27" ht="27.75" customHeight="1">
      <c r="A147" s="177" t="s">
        <v>404</v>
      </c>
      <c r="B147" s="73" t="s">
        <v>755</v>
      </c>
      <c r="C147" s="68" t="s">
        <v>363</v>
      </c>
      <c r="D147" s="31"/>
      <c r="E147" s="68">
        <v>2020</v>
      </c>
      <c r="F147" s="181" t="s">
        <v>777</v>
      </c>
      <c r="G147" s="158">
        <v>608</v>
      </c>
      <c r="H147" s="158">
        <v>0</v>
      </c>
      <c r="I147" s="158">
        <v>608</v>
      </c>
      <c r="J147" s="158">
        <v>0</v>
      </c>
      <c r="K147" s="158">
        <v>581</v>
      </c>
      <c r="L147" s="158">
        <v>0</v>
      </c>
      <c r="M147" s="158">
        <v>581</v>
      </c>
      <c r="N147" s="158">
        <v>0</v>
      </c>
      <c r="O147" s="158">
        <f t="shared" si="28"/>
        <v>330</v>
      </c>
      <c r="P147" s="158"/>
      <c r="Q147" s="158">
        <v>330</v>
      </c>
      <c r="R147" s="158"/>
      <c r="S147" s="158">
        <f t="shared" si="29"/>
        <v>251</v>
      </c>
      <c r="T147" s="158"/>
      <c r="U147" s="158">
        <v>251</v>
      </c>
      <c r="V147" s="158"/>
      <c r="W147" s="158">
        <f t="shared" si="30"/>
        <v>581</v>
      </c>
      <c r="X147" s="158">
        <v>0</v>
      </c>
      <c r="Y147" s="158">
        <v>581</v>
      </c>
      <c r="Z147" s="158">
        <v>0</v>
      </c>
      <c r="AA147" s="212"/>
    </row>
    <row r="148" spans="1:27" ht="39" customHeight="1">
      <c r="A148" s="177" t="s">
        <v>405</v>
      </c>
      <c r="B148" s="73" t="s">
        <v>756</v>
      </c>
      <c r="C148" s="68" t="s">
        <v>352</v>
      </c>
      <c r="D148" s="31"/>
      <c r="E148" s="68">
        <v>2020</v>
      </c>
      <c r="F148" s="181" t="s">
        <v>778</v>
      </c>
      <c r="G148" s="158">
        <v>1200</v>
      </c>
      <c r="H148" s="158">
        <v>0</v>
      </c>
      <c r="I148" s="158">
        <v>1200</v>
      </c>
      <c r="J148" s="158">
        <v>0</v>
      </c>
      <c r="K148" s="158">
        <v>1130</v>
      </c>
      <c r="L148" s="158">
        <v>0</v>
      </c>
      <c r="M148" s="158">
        <v>1130</v>
      </c>
      <c r="N148" s="158">
        <v>0</v>
      </c>
      <c r="O148" s="158">
        <f t="shared" si="28"/>
        <v>400</v>
      </c>
      <c r="P148" s="158"/>
      <c r="Q148" s="158">
        <v>400</v>
      </c>
      <c r="R148" s="158"/>
      <c r="S148" s="158">
        <f t="shared" si="29"/>
        <v>250</v>
      </c>
      <c r="T148" s="158"/>
      <c r="U148" s="158">
        <v>250</v>
      </c>
      <c r="V148" s="158"/>
      <c r="W148" s="158">
        <f t="shared" si="30"/>
        <v>1130</v>
      </c>
      <c r="X148" s="158">
        <v>0</v>
      </c>
      <c r="Y148" s="158">
        <v>1130</v>
      </c>
      <c r="Z148" s="158">
        <v>0</v>
      </c>
      <c r="AA148" s="212"/>
    </row>
    <row r="149" spans="1:27" ht="39" customHeight="1">
      <c r="A149" s="177" t="s">
        <v>460</v>
      </c>
      <c r="B149" s="73" t="s">
        <v>757</v>
      </c>
      <c r="C149" s="68" t="s">
        <v>363</v>
      </c>
      <c r="D149" s="31"/>
      <c r="E149" s="68">
        <v>2020</v>
      </c>
      <c r="F149" s="181" t="s">
        <v>779</v>
      </c>
      <c r="G149" s="158">
        <v>1200</v>
      </c>
      <c r="H149" s="158">
        <v>0</v>
      </c>
      <c r="I149" s="158">
        <v>1200</v>
      </c>
      <c r="J149" s="158">
        <v>0</v>
      </c>
      <c r="K149" s="158">
        <v>1130</v>
      </c>
      <c r="L149" s="158">
        <v>0</v>
      </c>
      <c r="M149" s="158">
        <v>1130</v>
      </c>
      <c r="N149" s="158">
        <v>0</v>
      </c>
      <c r="O149" s="158">
        <f t="shared" si="28"/>
        <v>350</v>
      </c>
      <c r="P149" s="158"/>
      <c r="Q149" s="158">
        <v>350</v>
      </c>
      <c r="R149" s="158"/>
      <c r="S149" s="158">
        <f t="shared" si="29"/>
        <v>250</v>
      </c>
      <c r="T149" s="158"/>
      <c r="U149" s="158">
        <v>250</v>
      </c>
      <c r="V149" s="158"/>
      <c r="W149" s="158">
        <f t="shared" si="30"/>
        <v>1130</v>
      </c>
      <c r="X149" s="158">
        <v>0</v>
      </c>
      <c r="Y149" s="158">
        <v>1130</v>
      </c>
      <c r="Z149" s="158">
        <v>0</v>
      </c>
      <c r="AA149" s="212"/>
    </row>
    <row r="150" spans="1:27" ht="39" customHeight="1">
      <c r="A150" s="177" t="s">
        <v>461</v>
      </c>
      <c r="B150" s="73" t="s">
        <v>758</v>
      </c>
      <c r="C150" s="68" t="s">
        <v>363</v>
      </c>
      <c r="D150" s="31"/>
      <c r="E150" s="68">
        <v>2020</v>
      </c>
      <c r="F150" s="181" t="s">
        <v>780</v>
      </c>
      <c r="G150" s="158">
        <v>1200</v>
      </c>
      <c r="H150" s="158">
        <v>0</v>
      </c>
      <c r="I150" s="158">
        <v>1200</v>
      </c>
      <c r="J150" s="158">
        <v>0</v>
      </c>
      <c r="K150" s="158">
        <v>1130</v>
      </c>
      <c r="L150" s="158">
        <v>0</v>
      </c>
      <c r="M150" s="158">
        <v>1130</v>
      </c>
      <c r="N150" s="158">
        <v>0</v>
      </c>
      <c r="O150" s="158">
        <f t="shared" si="28"/>
        <v>400</v>
      </c>
      <c r="P150" s="158"/>
      <c r="Q150" s="158">
        <v>400</v>
      </c>
      <c r="R150" s="158"/>
      <c r="S150" s="158">
        <f t="shared" si="29"/>
        <v>250</v>
      </c>
      <c r="T150" s="158"/>
      <c r="U150" s="158">
        <v>250</v>
      </c>
      <c r="V150" s="158"/>
      <c r="W150" s="158">
        <f t="shared" si="30"/>
        <v>1130</v>
      </c>
      <c r="X150" s="158">
        <v>0</v>
      </c>
      <c r="Y150" s="158">
        <v>1130</v>
      </c>
      <c r="Z150" s="158">
        <v>0</v>
      </c>
      <c r="AA150" s="212"/>
    </row>
    <row r="151" spans="1:27" ht="52.5" customHeight="1">
      <c r="A151" s="177" t="s">
        <v>462</v>
      </c>
      <c r="B151" s="73" t="s">
        <v>759</v>
      </c>
      <c r="C151" s="68" t="s">
        <v>760</v>
      </c>
      <c r="D151" s="31"/>
      <c r="E151" s="68">
        <v>2020</v>
      </c>
      <c r="F151" s="181" t="s">
        <v>781</v>
      </c>
      <c r="G151" s="158">
        <v>1150</v>
      </c>
      <c r="H151" s="158">
        <v>0</v>
      </c>
      <c r="I151" s="158">
        <v>1150</v>
      </c>
      <c r="J151" s="158">
        <v>0</v>
      </c>
      <c r="K151" s="158">
        <v>1090</v>
      </c>
      <c r="L151" s="158">
        <v>0</v>
      </c>
      <c r="M151" s="158">
        <v>1090</v>
      </c>
      <c r="N151" s="158">
        <v>0</v>
      </c>
      <c r="O151" s="158">
        <f t="shared" si="28"/>
        <v>350</v>
      </c>
      <c r="P151" s="158"/>
      <c r="Q151" s="158">
        <v>350</v>
      </c>
      <c r="R151" s="158"/>
      <c r="S151" s="158">
        <f t="shared" si="29"/>
        <v>250</v>
      </c>
      <c r="T151" s="158"/>
      <c r="U151" s="158">
        <v>250</v>
      </c>
      <c r="V151" s="158"/>
      <c r="W151" s="158">
        <f t="shared" si="30"/>
        <v>1090</v>
      </c>
      <c r="X151" s="158">
        <v>0</v>
      </c>
      <c r="Y151" s="158">
        <v>1090</v>
      </c>
      <c r="Z151" s="158">
        <v>0</v>
      </c>
      <c r="AA151" s="212"/>
    </row>
    <row r="152" spans="1:27" ht="39" customHeight="1">
      <c r="A152" s="177" t="s">
        <v>463</v>
      </c>
      <c r="B152" s="73" t="s">
        <v>761</v>
      </c>
      <c r="C152" s="68" t="s">
        <v>762</v>
      </c>
      <c r="D152" s="31"/>
      <c r="E152" s="68">
        <v>2020</v>
      </c>
      <c r="F152" s="181" t="s">
        <v>782</v>
      </c>
      <c r="G152" s="158">
        <v>1150</v>
      </c>
      <c r="H152" s="158">
        <v>0</v>
      </c>
      <c r="I152" s="158">
        <v>1150</v>
      </c>
      <c r="J152" s="158">
        <v>0</v>
      </c>
      <c r="K152" s="158">
        <v>1100</v>
      </c>
      <c r="L152" s="158">
        <v>0</v>
      </c>
      <c r="M152" s="158">
        <v>1100</v>
      </c>
      <c r="N152" s="158">
        <v>0</v>
      </c>
      <c r="O152" s="158">
        <f t="shared" si="28"/>
        <v>350</v>
      </c>
      <c r="P152" s="158"/>
      <c r="Q152" s="158">
        <v>350</v>
      </c>
      <c r="R152" s="158"/>
      <c r="S152" s="158">
        <f t="shared" si="29"/>
        <v>250</v>
      </c>
      <c r="T152" s="158"/>
      <c r="U152" s="158">
        <v>250</v>
      </c>
      <c r="V152" s="158"/>
      <c r="W152" s="158">
        <f t="shared" si="30"/>
        <v>1100</v>
      </c>
      <c r="X152" s="158">
        <v>0</v>
      </c>
      <c r="Y152" s="158">
        <v>1100</v>
      </c>
      <c r="Z152" s="158">
        <v>0</v>
      </c>
      <c r="AA152" s="212"/>
    </row>
    <row r="153" spans="1:27" ht="39.75" customHeight="1">
      <c r="A153" s="177" t="s">
        <v>464</v>
      </c>
      <c r="B153" s="73" t="s">
        <v>763</v>
      </c>
      <c r="C153" s="68" t="s">
        <v>363</v>
      </c>
      <c r="D153" s="31"/>
      <c r="E153" s="68">
        <v>2020</v>
      </c>
      <c r="F153" s="181" t="s">
        <v>783</v>
      </c>
      <c r="G153" s="158">
        <v>650</v>
      </c>
      <c r="H153" s="158">
        <v>0</v>
      </c>
      <c r="I153" s="158">
        <v>650</v>
      </c>
      <c r="J153" s="158">
        <v>0</v>
      </c>
      <c r="K153" s="158">
        <v>625</v>
      </c>
      <c r="L153" s="158">
        <v>0</v>
      </c>
      <c r="M153" s="158">
        <v>625</v>
      </c>
      <c r="N153" s="158">
        <v>0</v>
      </c>
      <c r="O153" s="158">
        <f t="shared" si="28"/>
        <v>220</v>
      </c>
      <c r="P153" s="158"/>
      <c r="Q153" s="158">
        <v>220</v>
      </c>
      <c r="R153" s="158"/>
      <c r="S153" s="158">
        <f t="shared" si="29"/>
        <v>200</v>
      </c>
      <c r="T153" s="158"/>
      <c r="U153" s="158">
        <v>200</v>
      </c>
      <c r="V153" s="158"/>
      <c r="W153" s="158">
        <f t="shared" si="30"/>
        <v>625</v>
      </c>
      <c r="X153" s="158">
        <v>0</v>
      </c>
      <c r="Y153" s="158">
        <v>625</v>
      </c>
      <c r="Z153" s="158">
        <v>0</v>
      </c>
      <c r="AA153" s="212"/>
    </row>
    <row r="154" spans="1:27" ht="27.75" customHeight="1">
      <c r="A154" s="177" t="s">
        <v>465</v>
      </c>
      <c r="B154" s="73" t="s">
        <v>764</v>
      </c>
      <c r="C154" s="68" t="s">
        <v>537</v>
      </c>
      <c r="D154" s="31"/>
      <c r="E154" s="68">
        <v>2020</v>
      </c>
      <c r="F154" s="181" t="s">
        <v>784</v>
      </c>
      <c r="G154" s="158">
        <v>1150</v>
      </c>
      <c r="H154" s="158">
        <v>0</v>
      </c>
      <c r="I154" s="158">
        <v>1150</v>
      </c>
      <c r="J154" s="158">
        <v>0</v>
      </c>
      <c r="K154" s="158">
        <v>1100</v>
      </c>
      <c r="L154" s="158">
        <v>0</v>
      </c>
      <c r="M154" s="158">
        <v>1100</v>
      </c>
      <c r="N154" s="158">
        <v>0</v>
      </c>
      <c r="O154" s="158">
        <f t="shared" si="28"/>
        <v>350</v>
      </c>
      <c r="P154" s="158"/>
      <c r="Q154" s="158">
        <v>350</v>
      </c>
      <c r="R154" s="158"/>
      <c r="S154" s="158">
        <f t="shared" si="29"/>
        <v>250</v>
      </c>
      <c r="T154" s="158"/>
      <c r="U154" s="158">
        <v>250</v>
      </c>
      <c r="V154" s="158"/>
      <c r="W154" s="158">
        <f t="shared" si="30"/>
        <v>1100</v>
      </c>
      <c r="X154" s="158">
        <v>0</v>
      </c>
      <c r="Y154" s="158">
        <v>1100</v>
      </c>
      <c r="Z154" s="158">
        <v>0</v>
      </c>
      <c r="AA154" s="212"/>
    </row>
    <row r="155" spans="1:27" ht="25.5" customHeight="1">
      <c r="A155" s="177" t="s">
        <v>466</v>
      </c>
      <c r="B155" s="73" t="s">
        <v>765</v>
      </c>
      <c r="C155" s="68" t="s">
        <v>363</v>
      </c>
      <c r="D155" s="31"/>
      <c r="E155" s="68">
        <v>2020</v>
      </c>
      <c r="F155" s="181" t="s">
        <v>785</v>
      </c>
      <c r="G155" s="158">
        <v>1160</v>
      </c>
      <c r="H155" s="158">
        <v>0</v>
      </c>
      <c r="I155" s="158">
        <v>1160</v>
      </c>
      <c r="J155" s="158">
        <v>0</v>
      </c>
      <c r="K155" s="158">
        <v>1123</v>
      </c>
      <c r="L155" s="158">
        <v>0</v>
      </c>
      <c r="M155" s="158">
        <v>1123</v>
      </c>
      <c r="N155" s="158">
        <v>0</v>
      </c>
      <c r="O155" s="158">
        <f t="shared" si="28"/>
        <v>400</v>
      </c>
      <c r="P155" s="158"/>
      <c r="Q155" s="158">
        <v>400</v>
      </c>
      <c r="R155" s="158"/>
      <c r="S155" s="158">
        <f t="shared" si="29"/>
        <v>250</v>
      </c>
      <c r="T155" s="158"/>
      <c r="U155" s="158">
        <v>250</v>
      </c>
      <c r="V155" s="158"/>
      <c r="W155" s="158">
        <f t="shared" si="30"/>
        <v>1123</v>
      </c>
      <c r="X155" s="158">
        <v>0</v>
      </c>
      <c r="Y155" s="158">
        <v>1123</v>
      </c>
      <c r="Z155" s="158">
        <v>0</v>
      </c>
      <c r="AA155" s="212"/>
    </row>
    <row r="156" spans="1:27" ht="29.25" customHeight="1">
      <c r="A156" s="177" t="s">
        <v>467</v>
      </c>
      <c r="B156" s="73" t="s">
        <v>766</v>
      </c>
      <c r="C156" s="68" t="s">
        <v>357</v>
      </c>
      <c r="D156" s="31"/>
      <c r="E156" s="68">
        <v>2020</v>
      </c>
      <c r="F156" s="181" t="s">
        <v>786</v>
      </c>
      <c r="G156" s="158">
        <v>830</v>
      </c>
      <c r="H156" s="158">
        <v>0</v>
      </c>
      <c r="I156" s="158">
        <v>830</v>
      </c>
      <c r="J156" s="158">
        <v>0</v>
      </c>
      <c r="K156" s="158">
        <v>830</v>
      </c>
      <c r="L156" s="158">
        <v>0</v>
      </c>
      <c r="M156" s="158">
        <v>830</v>
      </c>
      <c r="N156" s="158">
        <v>0</v>
      </c>
      <c r="O156" s="158">
        <f t="shared" si="28"/>
        <v>300</v>
      </c>
      <c r="P156" s="158"/>
      <c r="Q156" s="158">
        <v>300</v>
      </c>
      <c r="R156" s="158"/>
      <c r="S156" s="158">
        <f t="shared" si="29"/>
        <v>250</v>
      </c>
      <c r="T156" s="158"/>
      <c r="U156" s="158">
        <v>250</v>
      </c>
      <c r="V156" s="158"/>
      <c r="W156" s="158">
        <f t="shared" si="30"/>
        <v>830</v>
      </c>
      <c r="X156" s="158">
        <v>0</v>
      </c>
      <c r="Y156" s="158">
        <v>830</v>
      </c>
      <c r="Z156" s="158">
        <v>0</v>
      </c>
      <c r="AA156" s="212"/>
    </row>
    <row r="157" spans="1:27" ht="25.5" customHeight="1">
      <c r="A157" s="177" t="s">
        <v>468</v>
      </c>
      <c r="B157" s="73" t="s">
        <v>767</v>
      </c>
      <c r="C157" s="68" t="s">
        <v>352</v>
      </c>
      <c r="D157" s="31"/>
      <c r="E157" s="68">
        <v>2020</v>
      </c>
      <c r="F157" s="181" t="s">
        <v>787</v>
      </c>
      <c r="G157" s="158">
        <v>1149</v>
      </c>
      <c r="H157" s="158">
        <v>0</v>
      </c>
      <c r="I157" s="158">
        <v>1149</v>
      </c>
      <c r="J157" s="158">
        <v>0</v>
      </c>
      <c r="K157" s="158">
        <v>1094</v>
      </c>
      <c r="L157" s="158">
        <v>0</v>
      </c>
      <c r="M157" s="158">
        <v>1094</v>
      </c>
      <c r="N157" s="158">
        <v>0</v>
      </c>
      <c r="O157" s="158">
        <f t="shared" si="28"/>
        <v>300</v>
      </c>
      <c r="P157" s="158"/>
      <c r="Q157" s="158">
        <v>300</v>
      </c>
      <c r="R157" s="158"/>
      <c r="S157" s="158">
        <f t="shared" si="29"/>
        <v>300</v>
      </c>
      <c r="T157" s="158"/>
      <c r="U157" s="158">
        <v>300</v>
      </c>
      <c r="V157" s="158"/>
      <c r="W157" s="158">
        <f t="shared" si="30"/>
        <v>1094</v>
      </c>
      <c r="X157" s="158">
        <v>0</v>
      </c>
      <c r="Y157" s="158">
        <v>1094</v>
      </c>
      <c r="Z157" s="158">
        <v>0</v>
      </c>
      <c r="AA157" s="212"/>
    </row>
    <row r="158" spans="1:27" ht="27.75" customHeight="1">
      <c r="A158" s="177" t="s">
        <v>469</v>
      </c>
      <c r="B158" s="73" t="s">
        <v>788</v>
      </c>
      <c r="C158" s="68" t="s">
        <v>357</v>
      </c>
      <c r="D158" s="31"/>
      <c r="E158" s="68"/>
      <c r="F158" s="181"/>
      <c r="G158" s="158">
        <v>5000</v>
      </c>
      <c r="H158" s="158"/>
      <c r="I158" s="158">
        <v>5000</v>
      </c>
      <c r="J158" s="158"/>
      <c r="K158" s="158">
        <v>5000</v>
      </c>
      <c r="L158" s="158"/>
      <c r="M158" s="158">
        <v>5000</v>
      </c>
      <c r="N158" s="158"/>
      <c r="O158" s="158">
        <f t="shared" si="28"/>
        <v>900</v>
      </c>
      <c r="P158" s="158"/>
      <c r="Q158" s="158">
        <v>900</v>
      </c>
      <c r="R158" s="158"/>
      <c r="S158" s="158">
        <f t="shared" si="29"/>
        <v>700</v>
      </c>
      <c r="T158" s="158"/>
      <c r="U158" s="158">
        <v>700</v>
      </c>
      <c r="V158" s="158"/>
      <c r="W158" s="158">
        <f t="shared" si="30"/>
        <v>0</v>
      </c>
      <c r="X158" s="158"/>
      <c r="Y158" s="158"/>
      <c r="Z158" s="158"/>
      <c r="AA158" s="212"/>
    </row>
    <row r="159" spans="1:27" ht="39.75" customHeight="1">
      <c r="A159" s="177" t="s">
        <v>470</v>
      </c>
      <c r="B159" s="73" t="s">
        <v>789</v>
      </c>
      <c r="C159" s="68" t="s">
        <v>353</v>
      </c>
      <c r="D159" s="31"/>
      <c r="E159" s="68"/>
      <c r="F159" s="181"/>
      <c r="G159" s="158">
        <v>2500</v>
      </c>
      <c r="H159" s="158"/>
      <c r="I159" s="158">
        <v>2500</v>
      </c>
      <c r="J159" s="158"/>
      <c r="K159" s="158">
        <f>SUM(L159:N159)</f>
        <v>800</v>
      </c>
      <c r="L159" s="158"/>
      <c r="M159" s="158">
        <v>800</v>
      </c>
      <c r="N159" s="158"/>
      <c r="O159" s="158">
        <f t="shared" si="28"/>
        <v>0</v>
      </c>
      <c r="P159" s="158"/>
      <c r="Q159" s="158"/>
      <c r="R159" s="158"/>
      <c r="S159" s="158">
        <f t="shared" si="29"/>
        <v>800</v>
      </c>
      <c r="T159" s="158"/>
      <c r="U159" s="158">
        <v>800</v>
      </c>
      <c r="V159" s="158"/>
      <c r="W159" s="158">
        <f t="shared" si="30"/>
        <v>0</v>
      </c>
      <c r="X159" s="158"/>
      <c r="Y159" s="158"/>
      <c r="Z159" s="158"/>
      <c r="AA159" s="212"/>
    </row>
    <row r="160" spans="1:27" ht="27.75" customHeight="1">
      <c r="A160" s="177" t="s">
        <v>471</v>
      </c>
      <c r="B160" s="73" t="s">
        <v>790</v>
      </c>
      <c r="C160" s="68" t="s">
        <v>537</v>
      </c>
      <c r="D160" s="31"/>
      <c r="E160" s="68"/>
      <c r="F160" s="181"/>
      <c r="G160" s="158">
        <v>10000</v>
      </c>
      <c r="H160" s="158"/>
      <c r="I160" s="158">
        <v>10000</v>
      </c>
      <c r="J160" s="158"/>
      <c r="K160" s="158">
        <f>SUM(L160:N160)</f>
        <v>3500</v>
      </c>
      <c r="L160" s="158"/>
      <c r="M160" s="158">
        <v>3500</v>
      </c>
      <c r="N160" s="158"/>
      <c r="O160" s="158">
        <f t="shared" si="28"/>
        <v>0</v>
      </c>
      <c r="P160" s="158"/>
      <c r="Q160" s="158"/>
      <c r="R160" s="158"/>
      <c r="S160" s="158">
        <f t="shared" si="29"/>
        <v>3500</v>
      </c>
      <c r="T160" s="158"/>
      <c r="U160" s="158">
        <v>3500</v>
      </c>
      <c r="V160" s="158"/>
      <c r="W160" s="158">
        <f t="shared" si="30"/>
        <v>0</v>
      </c>
      <c r="X160" s="158"/>
      <c r="Y160" s="158"/>
      <c r="Z160" s="158"/>
      <c r="AA160" s="212"/>
    </row>
    <row r="161" spans="1:27" ht="33" customHeight="1">
      <c r="A161" s="177" t="s">
        <v>680</v>
      </c>
      <c r="B161" s="73" t="s">
        <v>791</v>
      </c>
      <c r="C161" s="68" t="s">
        <v>537</v>
      </c>
      <c r="D161" s="31"/>
      <c r="E161" s="68"/>
      <c r="F161" s="181"/>
      <c r="G161" s="158">
        <v>2400</v>
      </c>
      <c r="H161" s="158"/>
      <c r="I161" s="158">
        <v>2400</v>
      </c>
      <c r="J161" s="158"/>
      <c r="K161" s="158">
        <f>SUM(L161:N161)</f>
        <v>750</v>
      </c>
      <c r="L161" s="158"/>
      <c r="M161" s="158">
        <v>750</v>
      </c>
      <c r="N161" s="158"/>
      <c r="O161" s="158">
        <f t="shared" si="28"/>
        <v>0</v>
      </c>
      <c r="P161" s="158"/>
      <c r="Q161" s="158"/>
      <c r="R161" s="158"/>
      <c r="S161" s="158">
        <f t="shared" si="29"/>
        <v>750</v>
      </c>
      <c r="T161" s="158"/>
      <c r="U161" s="158">
        <v>750</v>
      </c>
      <c r="V161" s="158"/>
      <c r="W161" s="158">
        <f t="shared" si="30"/>
        <v>0</v>
      </c>
      <c r="X161" s="158"/>
      <c r="Y161" s="158"/>
      <c r="Z161" s="158"/>
      <c r="AA161" s="212"/>
    </row>
    <row r="162" spans="1:27" ht="42" customHeight="1">
      <c r="A162" s="177" t="s">
        <v>681</v>
      </c>
      <c r="B162" s="73" t="s">
        <v>792</v>
      </c>
      <c r="C162" s="68" t="s">
        <v>363</v>
      </c>
      <c r="D162" s="31"/>
      <c r="E162" s="68"/>
      <c r="F162" s="181"/>
      <c r="G162" s="158">
        <v>3500</v>
      </c>
      <c r="H162" s="158"/>
      <c r="I162" s="158">
        <v>3500</v>
      </c>
      <c r="J162" s="158"/>
      <c r="K162" s="158">
        <f>SUM(L162:N162)</f>
        <v>950</v>
      </c>
      <c r="L162" s="158"/>
      <c r="M162" s="158">
        <v>950</v>
      </c>
      <c r="N162" s="158"/>
      <c r="O162" s="158">
        <f t="shared" si="28"/>
        <v>0</v>
      </c>
      <c r="P162" s="158"/>
      <c r="Q162" s="158"/>
      <c r="R162" s="158"/>
      <c r="S162" s="158">
        <f t="shared" si="29"/>
        <v>950</v>
      </c>
      <c r="T162" s="158"/>
      <c r="U162" s="158">
        <v>950</v>
      </c>
      <c r="V162" s="158"/>
      <c r="W162" s="158">
        <f t="shared" si="30"/>
        <v>0</v>
      </c>
      <c r="X162" s="158"/>
      <c r="Y162" s="158"/>
      <c r="Z162" s="158"/>
      <c r="AA162" s="212"/>
    </row>
    <row r="163" spans="1:27" s="156" customFormat="1" ht="31.5" customHeight="1">
      <c r="A163" s="216" t="s">
        <v>15</v>
      </c>
      <c r="B163" s="176" t="s">
        <v>793</v>
      </c>
      <c r="C163" s="217"/>
      <c r="D163" s="217"/>
      <c r="E163" s="217"/>
      <c r="F163" s="217"/>
      <c r="G163" s="218">
        <f>SUM(G164:G165)</f>
        <v>2969</v>
      </c>
      <c r="H163" s="218">
        <f aca="true" t="shared" si="31" ref="H163:Z163">SUM(H164:H165)</f>
        <v>0</v>
      </c>
      <c r="I163" s="218">
        <f t="shared" si="31"/>
        <v>2969</v>
      </c>
      <c r="J163" s="218">
        <f t="shared" si="31"/>
        <v>0</v>
      </c>
      <c r="K163" s="218">
        <f t="shared" si="31"/>
        <v>1569</v>
      </c>
      <c r="L163" s="218">
        <f t="shared" si="31"/>
        <v>0</v>
      </c>
      <c r="M163" s="218">
        <f t="shared" si="31"/>
        <v>1569</v>
      </c>
      <c r="N163" s="218">
        <f t="shared" si="31"/>
        <v>0</v>
      </c>
      <c r="O163" s="218">
        <f t="shared" si="31"/>
        <v>600</v>
      </c>
      <c r="P163" s="218">
        <f t="shared" si="31"/>
        <v>0</v>
      </c>
      <c r="Q163" s="218">
        <f t="shared" si="31"/>
        <v>600</v>
      </c>
      <c r="R163" s="218">
        <f t="shared" si="31"/>
        <v>0</v>
      </c>
      <c r="S163" s="218">
        <f t="shared" si="31"/>
        <v>969</v>
      </c>
      <c r="T163" s="218">
        <f t="shared" si="31"/>
        <v>0</v>
      </c>
      <c r="U163" s="218">
        <f t="shared" si="31"/>
        <v>969</v>
      </c>
      <c r="V163" s="218">
        <f t="shared" si="31"/>
        <v>0</v>
      </c>
      <c r="W163" s="218">
        <f t="shared" si="31"/>
        <v>969</v>
      </c>
      <c r="X163" s="218">
        <f t="shared" si="31"/>
        <v>0</v>
      </c>
      <c r="Y163" s="218">
        <f t="shared" si="31"/>
        <v>969</v>
      </c>
      <c r="Z163" s="218">
        <f t="shared" si="31"/>
        <v>0</v>
      </c>
      <c r="AA163" s="213"/>
    </row>
    <row r="164" spans="1:27" ht="36.75" customHeight="1">
      <c r="A164" s="177" t="s">
        <v>368</v>
      </c>
      <c r="B164" s="73" t="s">
        <v>794</v>
      </c>
      <c r="C164" s="68" t="s">
        <v>544</v>
      </c>
      <c r="D164" s="31"/>
      <c r="E164" s="68">
        <v>2019</v>
      </c>
      <c r="F164" s="181" t="s">
        <v>795</v>
      </c>
      <c r="G164" s="158">
        <f>SUM(H164:J164)</f>
        <v>969</v>
      </c>
      <c r="H164" s="158"/>
      <c r="I164" s="158">
        <v>969</v>
      </c>
      <c r="J164" s="158"/>
      <c r="K164" s="158">
        <f>SUM(L164:N164)</f>
        <v>969</v>
      </c>
      <c r="L164" s="158"/>
      <c r="M164" s="158">
        <v>969</v>
      </c>
      <c r="N164" s="158"/>
      <c r="O164" s="158">
        <f>SUM(P164:R164)</f>
        <v>600</v>
      </c>
      <c r="P164" s="158"/>
      <c r="Q164" s="158">
        <v>600</v>
      </c>
      <c r="R164" s="158"/>
      <c r="S164" s="158">
        <f>SUM(T164:V164)</f>
        <v>369</v>
      </c>
      <c r="T164" s="158"/>
      <c r="U164" s="158">
        <v>369</v>
      </c>
      <c r="V164" s="158"/>
      <c r="W164" s="158">
        <f t="shared" si="30"/>
        <v>969</v>
      </c>
      <c r="X164" s="158"/>
      <c r="Y164" s="158">
        <v>969</v>
      </c>
      <c r="Z164" s="158"/>
      <c r="AA164" s="212"/>
    </row>
    <row r="165" spans="1:27" ht="30" customHeight="1">
      <c r="A165" s="177" t="s">
        <v>370</v>
      </c>
      <c r="B165" s="73" t="s">
        <v>796</v>
      </c>
      <c r="C165" s="68" t="s">
        <v>363</v>
      </c>
      <c r="D165" s="31"/>
      <c r="E165" s="68"/>
      <c r="F165" s="181"/>
      <c r="G165" s="158">
        <f>SUM(H165:J165)</f>
        <v>2000</v>
      </c>
      <c r="H165" s="158"/>
      <c r="I165" s="158">
        <v>2000</v>
      </c>
      <c r="J165" s="158"/>
      <c r="K165" s="158">
        <f>SUM(L165:N165)</f>
        <v>600</v>
      </c>
      <c r="L165" s="158"/>
      <c r="M165" s="158">
        <v>600</v>
      </c>
      <c r="N165" s="158"/>
      <c r="O165" s="158"/>
      <c r="P165" s="158"/>
      <c r="Q165" s="158"/>
      <c r="R165" s="158"/>
      <c r="S165" s="158">
        <f>SUM(T165:V165)</f>
        <v>600</v>
      </c>
      <c r="T165" s="158"/>
      <c r="U165" s="158">
        <v>600</v>
      </c>
      <c r="V165" s="158"/>
      <c r="W165" s="158">
        <f t="shared" si="30"/>
        <v>0</v>
      </c>
      <c r="X165" s="158"/>
      <c r="Y165" s="158"/>
      <c r="Z165" s="158"/>
      <c r="AA165" s="212"/>
    </row>
    <row r="166" spans="1:27" s="156" customFormat="1" ht="27" customHeight="1">
      <c r="A166" s="216" t="s">
        <v>17</v>
      </c>
      <c r="B166" s="176" t="s">
        <v>797</v>
      </c>
      <c r="C166" s="217"/>
      <c r="D166" s="217"/>
      <c r="E166" s="217"/>
      <c r="F166" s="217"/>
      <c r="G166" s="218">
        <f>G167</f>
        <v>500</v>
      </c>
      <c r="H166" s="218">
        <f aca="true" t="shared" si="32" ref="H166:Z166">H167</f>
        <v>0</v>
      </c>
      <c r="I166" s="218">
        <f t="shared" si="32"/>
        <v>500</v>
      </c>
      <c r="J166" s="218">
        <f t="shared" si="32"/>
        <v>0</v>
      </c>
      <c r="K166" s="218">
        <f t="shared" si="32"/>
        <v>150</v>
      </c>
      <c r="L166" s="218">
        <f t="shared" si="32"/>
        <v>0</v>
      </c>
      <c r="M166" s="218">
        <f t="shared" si="32"/>
        <v>150</v>
      </c>
      <c r="N166" s="218">
        <f t="shared" si="32"/>
        <v>0</v>
      </c>
      <c r="O166" s="218">
        <f t="shared" si="32"/>
        <v>0</v>
      </c>
      <c r="P166" s="218">
        <f t="shared" si="32"/>
        <v>0</v>
      </c>
      <c r="Q166" s="218">
        <f t="shared" si="32"/>
        <v>0</v>
      </c>
      <c r="R166" s="218">
        <f t="shared" si="32"/>
        <v>0</v>
      </c>
      <c r="S166" s="218">
        <f t="shared" si="32"/>
        <v>150</v>
      </c>
      <c r="T166" s="218">
        <f t="shared" si="32"/>
        <v>0</v>
      </c>
      <c r="U166" s="218">
        <f t="shared" si="32"/>
        <v>150</v>
      </c>
      <c r="V166" s="218">
        <f t="shared" si="32"/>
        <v>0</v>
      </c>
      <c r="W166" s="218">
        <f t="shared" si="32"/>
        <v>0</v>
      </c>
      <c r="X166" s="218">
        <f t="shared" si="32"/>
        <v>0</v>
      </c>
      <c r="Y166" s="218">
        <f t="shared" si="32"/>
        <v>0</v>
      </c>
      <c r="Z166" s="218">
        <f t="shared" si="32"/>
        <v>0</v>
      </c>
      <c r="AA166" s="213"/>
    </row>
    <row r="167" spans="1:27" ht="27" customHeight="1">
      <c r="A167" s="177"/>
      <c r="B167" s="73" t="s">
        <v>798</v>
      </c>
      <c r="C167" s="68" t="s">
        <v>363</v>
      </c>
      <c r="D167" s="31"/>
      <c r="E167" s="68"/>
      <c r="F167" s="181"/>
      <c r="G167" s="158">
        <f>SUM(H167:J167)</f>
        <v>500</v>
      </c>
      <c r="H167" s="158"/>
      <c r="I167" s="158">
        <v>500</v>
      </c>
      <c r="J167" s="158"/>
      <c r="K167" s="158">
        <f>SUM(L167:N167)</f>
        <v>150</v>
      </c>
      <c r="L167" s="158"/>
      <c r="M167" s="158">
        <v>150</v>
      </c>
      <c r="N167" s="158"/>
      <c r="O167" s="158"/>
      <c r="P167" s="158"/>
      <c r="Q167" s="158"/>
      <c r="R167" s="158"/>
      <c r="S167" s="158">
        <f>SUM(T167:V167)</f>
        <v>150</v>
      </c>
      <c r="T167" s="158"/>
      <c r="U167" s="158">
        <v>150</v>
      </c>
      <c r="V167" s="158"/>
      <c r="W167" s="158">
        <f t="shared" si="30"/>
        <v>0</v>
      </c>
      <c r="X167" s="212"/>
      <c r="Y167" s="212"/>
      <c r="Z167" s="212"/>
      <c r="AA167" s="212"/>
    </row>
    <row r="168" spans="1:27" ht="23.25" customHeight="1">
      <c r="A168" s="210" t="s">
        <v>91</v>
      </c>
      <c r="B168" s="14" t="s">
        <v>100</v>
      </c>
      <c r="C168" s="72"/>
      <c r="D168" s="31"/>
      <c r="E168" s="72"/>
      <c r="F168" s="72"/>
      <c r="G168" s="71">
        <f>G169+G172</f>
        <v>50924</v>
      </c>
      <c r="H168" s="71">
        <f aca="true" t="shared" si="33" ref="H168:M168">H169+H172</f>
        <v>32083</v>
      </c>
      <c r="I168" s="71">
        <f t="shared" si="33"/>
        <v>18841</v>
      </c>
      <c r="J168" s="71">
        <f t="shared" si="33"/>
        <v>0</v>
      </c>
      <c r="K168" s="71">
        <f t="shared" si="33"/>
        <v>48611</v>
      </c>
      <c r="L168" s="71">
        <f t="shared" si="33"/>
        <v>32083</v>
      </c>
      <c r="M168" s="71">
        <f t="shared" si="33"/>
        <v>16528</v>
      </c>
      <c r="N168" s="71">
        <f aca="true" t="shared" si="34" ref="N168:Z168">N169+N172</f>
        <v>0</v>
      </c>
      <c r="O168" s="71">
        <f t="shared" si="34"/>
        <v>43356</v>
      </c>
      <c r="P168" s="71">
        <f t="shared" si="34"/>
        <v>30150</v>
      </c>
      <c r="Q168" s="71">
        <f t="shared" si="34"/>
        <v>13206</v>
      </c>
      <c r="R168" s="71">
        <f t="shared" si="34"/>
        <v>0</v>
      </c>
      <c r="S168" s="71">
        <f t="shared" si="34"/>
        <v>3404</v>
      </c>
      <c r="T168" s="71">
        <f t="shared" si="34"/>
        <v>1933</v>
      </c>
      <c r="U168" s="71">
        <f t="shared" si="34"/>
        <v>1771</v>
      </c>
      <c r="V168" s="71">
        <f t="shared" si="34"/>
        <v>0</v>
      </c>
      <c r="W168" s="71">
        <f t="shared" si="34"/>
        <v>41704</v>
      </c>
      <c r="X168" s="71">
        <f t="shared" si="34"/>
        <v>5000</v>
      </c>
      <c r="Y168" s="71">
        <f t="shared" si="34"/>
        <v>3354</v>
      </c>
      <c r="Z168" s="71">
        <f t="shared" si="34"/>
        <v>0</v>
      </c>
      <c r="AA168" s="212"/>
    </row>
    <row r="169" spans="1:27" s="156" customFormat="1" ht="36.75" customHeight="1">
      <c r="A169" s="216" t="s">
        <v>8</v>
      </c>
      <c r="B169" s="176" t="s">
        <v>793</v>
      </c>
      <c r="C169" s="217"/>
      <c r="D169" s="217"/>
      <c r="E169" s="217"/>
      <c r="F169" s="217"/>
      <c r="G169" s="218">
        <f>SUM(G170:G171)</f>
        <v>1345</v>
      </c>
      <c r="H169" s="218">
        <f aca="true" t="shared" si="35" ref="H169:M169">SUM(H170:H171)</f>
        <v>0</v>
      </c>
      <c r="I169" s="218">
        <f t="shared" si="35"/>
        <v>1345</v>
      </c>
      <c r="J169" s="218">
        <f t="shared" si="35"/>
        <v>0</v>
      </c>
      <c r="K169" s="218">
        <f t="shared" si="35"/>
        <v>1303</v>
      </c>
      <c r="L169" s="218">
        <f t="shared" si="35"/>
        <v>0</v>
      </c>
      <c r="M169" s="218">
        <f t="shared" si="35"/>
        <v>1303</v>
      </c>
      <c r="N169" s="218">
        <f aca="true" t="shared" si="36" ref="N169:Z169">SUM(N170:N171)</f>
        <v>0</v>
      </c>
      <c r="O169" s="218">
        <f t="shared" si="36"/>
        <v>685</v>
      </c>
      <c r="P169" s="218">
        <f t="shared" si="36"/>
        <v>0</v>
      </c>
      <c r="Q169" s="218">
        <f t="shared" si="36"/>
        <v>685</v>
      </c>
      <c r="R169" s="218">
        <f t="shared" si="36"/>
        <v>0</v>
      </c>
      <c r="S169" s="218">
        <f t="shared" si="36"/>
        <v>43</v>
      </c>
      <c r="T169" s="218">
        <f t="shared" si="36"/>
        <v>0</v>
      </c>
      <c r="U169" s="218">
        <f t="shared" si="36"/>
        <v>343</v>
      </c>
      <c r="V169" s="218">
        <f t="shared" si="36"/>
        <v>0</v>
      </c>
      <c r="W169" s="218">
        <f t="shared" si="36"/>
        <v>1303</v>
      </c>
      <c r="X169" s="218">
        <f t="shared" si="36"/>
        <v>0</v>
      </c>
      <c r="Y169" s="218">
        <f t="shared" si="36"/>
        <v>1303</v>
      </c>
      <c r="Z169" s="218">
        <f t="shared" si="36"/>
        <v>0</v>
      </c>
      <c r="AA169" s="213"/>
    </row>
    <row r="170" spans="1:27" ht="36" customHeight="1">
      <c r="A170" s="177" t="s">
        <v>368</v>
      </c>
      <c r="B170" s="73" t="s">
        <v>799</v>
      </c>
      <c r="C170" s="68" t="s">
        <v>537</v>
      </c>
      <c r="D170" s="31"/>
      <c r="E170" s="68">
        <v>2020</v>
      </c>
      <c r="F170" s="181" t="s">
        <v>801</v>
      </c>
      <c r="G170" s="158">
        <f>SUM(H170:J170)</f>
        <v>495</v>
      </c>
      <c r="H170" s="158"/>
      <c r="I170" s="158">
        <v>495</v>
      </c>
      <c r="J170" s="158"/>
      <c r="K170" s="158">
        <f>SUM(L170:N170)</f>
        <v>453</v>
      </c>
      <c r="L170" s="158"/>
      <c r="M170" s="158">
        <v>453</v>
      </c>
      <c r="N170" s="158"/>
      <c r="O170" s="158">
        <f>SUM(P170:R170)</f>
        <v>410</v>
      </c>
      <c r="P170" s="158"/>
      <c r="Q170" s="158">
        <v>410</v>
      </c>
      <c r="R170" s="158"/>
      <c r="S170" s="158">
        <f>SUM(T170:V170)</f>
        <v>43</v>
      </c>
      <c r="T170" s="158"/>
      <c r="U170" s="158">
        <v>43</v>
      </c>
      <c r="V170" s="158"/>
      <c r="W170" s="158">
        <f t="shared" si="30"/>
        <v>453</v>
      </c>
      <c r="X170" s="212"/>
      <c r="Y170" s="158">
        <v>453</v>
      </c>
      <c r="Z170" s="212"/>
      <c r="AA170" s="212"/>
    </row>
    <row r="171" spans="1:27" ht="29.25" customHeight="1">
      <c r="A171" s="177" t="s">
        <v>370</v>
      </c>
      <c r="B171" s="73" t="s">
        <v>800</v>
      </c>
      <c r="C171" s="68" t="s">
        <v>537</v>
      </c>
      <c r="D171" s="31"/>
      <c r="E171" s="68">
        <v>2020</v>
      </c>
      <c r="F171" s="181" t="s">
        <v>802</v>
      </c>
      <c r="G171" s="158">
        <f>SUM(H171:J171)</f>
        <v>850</v>
      </c>
      <c r="H171" s="158"/>
      <c r="I171" s="158">
        <v>850</v>
      </c>
      <c r="J171" s="158"/>
      <c r="K171" s="158">
        <f>SUM(L171:N171)</f>
        <v>850</v>
      </c>
      <c r="L171" s="158"/>
      <c r="M171" s="158">
        <v>850</v>
      </c>
      <c r="N171" s="158"/>
      <c r="O171" s="158">
        <f>SUM(P171:R171)</f>
        <v>275</v>
      </c>
      <c r="P171" s="158"/>
      <c r="Q171" s="158">
        <v>275</v>
      </c>
      <c r="R171" s="158"/>
      <c r="S171" s="158"/>
      <c r="T171" s="158"/>
      <c r="U171" s="158">
        <v>300</v>
      </c>
      <c r="V171" s="158"/>
      <c r="W171" s="158">
        <f t="shared" si="30"/>
        <v>850</v>
      </c>
      <c r="X171" s="212"/>
      <c r="Y171" s="158">
        <v>850</v>
      </c>
      <c r="Z171" s="212"/>
      <c r="AA171" s="212"/>
    </row>
    <row r="172" spans="1:27" s="156" customFormat="1" ht="36.75" customHeight="1">
      <c r="A172" s="216" t="s">
        <v>11</v>
      </c>
      <c r="B172" s="176" t="s">
        <v>803</v>
      </c>
      <c r="C172" s="217"/>
      <c r="D172" s="217"/>
      <c r="E172" s="217"/>
      <c r="F172" s="217"/>
      <c r="G172" s="218">
        <f>SUM(G173:G176)</f>
        <v>49579</v>
      </c>
      <c r="H172" s="218">
        <f aca="true" t="shared" si="37" ref="H172:Z172">SUM(H173:H176)</f>
        <v>32083</v>
      </c>
      <c r="I172" s="218">
        <f t="shared" si="37"/>
        <v>17496</v>
      </c>
      <c r="J172" s="218">
        <f t="shared" si="37"/>
        <v>0</v>
      </c>
      <c r="K172" s="218">
        <f t="shared" si="37"/>
        <v>47308</v>
      </c>
      <c r="L172" s="218">
        <f t="shared" si="37"/>
        <v>32083</v>
      </c>
      <c r="M172" s="218">
        <f t="shared" si="37"/>
        <v>15225</v>
      </c>
      <c r="N172" s="218">
        <f t="shared" si="37"/>
        <v>0</v>
      </c>
      <c r="O172" s="218">
        <f t="shared" si="37"/>
        <v>42671</v>
      </c>
      <c r="P172" s="218">
        <f t="shared" si="37"/>
        <v>30150</v>
      </c>
      <c r="Q172" s="218">
        <f t="shared" si="37"/>
        <v>12521</v>
      </c>
      <c r="R172" s="218">
        <f t="shared" si="37"/>
        <v>0</v>
      </c>
      <c r="S172" s="218">
        <f t="shared" si="37"/>
        <v>3361</v>
      </c>
      <c r="T172" s="218">
        <f t="shared" si="37"/>
        <v>1933</v>
      </c>
      <c r="U172" s="218">
        <f t="shared" si="37"/>
        <v>1428</v>
      </c>
      <c r="V172" s="218">
        <f t="shared" si="37"/>
        <v>0</v>
      </c>
      <c r="W172" s="218">
        <f t="shared" si="37"/>
        <v>40401</v>
      </c>
      <c r="X172" s="218">
        <f t="shared" si="37"/>
        <v>5000</v>
      </c>
      <c r="Y172" s="218">
        <f t="shared" si="37"/>
        <v>2051</v>
      </c>
      <c r="Z172" s="218">
        <f t="shared" si="37"/>
        <v>0</v>
      </c>
      <c r="AA172" s="213"/>
    </row>
    <row r="173" spans="1:27" ht="37.5" customHeight="1">
      <c r="A173" s="177" t="s">
        <v>368</v>
      </c>
      <c r="B173" s="73" t="s">
        <v>538</v>
      </c>
      <c r="C173" s="68" t="s">
        <v>354</v>
      </c>
      <c r="D173" s="31"/>
      <c r="E173" s="68" t="s">
        <v>409</v>
      </c>
      <c r="F173" s="181" t="s">
        <v>578</v>
      </c>
      <c r="G173" s="158">
        <v>959</v>
      </c>
      <c r="H173" s="158">
        <v>0</v>
      </c>
      <c r="I173" s="158">
        <f>G173-H173-J173</f>
        <v>959</v>
      </c>
      <c r="J173" s="158">
        <v>0</v>
      </c>
      <c r="K173" s="158">
        <v>959</v>
      </c>
      <c r="L173" s="158">
        <v>0</v>
      </c>
      <c r="M173" s="158">
        <v>959</v>
      </c>
      <c r="N173" s="158">
        <v>0</v>
      </c>
      <c r="O173" s="158">
        <f>SUM(P173:R173)</f>
        <v>500</v>
      </c>
      <c r="P173" s="158">
        <v>0</v>
      </c>
      <c r="Q173" s="158">
        <v>500</v>
      </c>
      <c r="R173" s="158">
        <v>0</v>
      </c>
      <c r="S173" s="158">
        <f>SUM(T173:V173)</f>
        <v>459</v>
      </c>
      <c r="T173" s="158"/>
      <c r="U173" s="158">
        <v>459</v>
      </c>
      <c r="V173" s="158"/>
      <c r="W173" s="158">
        <f t="shared" si="30"/>
        <v>786</v>
      </c>
      <c r="X173" s="158"/>
      <c r="Y173" s="158">
        <v>786</v>
      </c>
      <c r="Z173" s="158"/>
      <c r="AA173" s="212"/>
    </row>
    <row r="174" spans="1:27" ht="59.25" customHeight="1">
      <c r="A174" s="177" t="s">
        <v>370</v>
      </c>
      <c r="B174" s="73" t="s">
        <v>530</v>
      </c>
      <c r="C174" s="68" t="s">
        <v>364</v>
      </c>
      <c r="D174" s="31"/>
      <c r="E174" s="68" t="s">
        <v>393</v>
      </c>
      <c r="F174" s="181" t="s">
        <v>571</v>
      </c>
      <c r="G174" s="158">
        <v>6467</v>
      </c>
      <c r="H174" s="158">
        <v>5000</v>
      </c>
      <c r="I174" s="158">
        <f>G174-H174-J174</f>
        <v>1467</v>
      </c>
      <c r="J174" s="158">
        <v>0</v>
      </c>
      <c r="K174" s="158">
        <v>6289</v>
      </c>
      <c r="L174" s="158">
        <v>5000</v>
      </c>
      <c r="M174" s="158">
        <v>1289</v>
      </c>
      <c r="N174" s="158">
        <v>0</v>
      </c>
      <c r="O174" s="158">
        <f>SUM(P174:R174)</f>
        <v>6020</v>
      </c>
      <c r="P174" s="158">
        <v>5000</v>
      </c>
      <c r="Q174" s="158">
        <v>1020</v>
      </c>
      <c r="R174" s="158">
        <v>0</v>
      </c>
      <c r="S174" s="158">
        <f>SUM(T174:V174)</f>
        <v>269</v>
      </c>
      <c r="T174" s="158"/>
      <c r="U174" s="158">
        <v>269</v>
      </c>
      <c r="V174" s="158"/>
      <c r="W174" s="158">
        <f t="shared" si="30"/>
        <v>6265</v>
      </c>
      <c r="X174" s="158">
        <v>5000</v>
      </c>
      <c r="Y174" s="158">
        <v>1265</v>
      </c>
      <c r="Z174" s="158"/>
      <c r="AA174" s="212"/>
    </row>
    <row r="175" spans="1:27" ht="40.5" customHeight="1">
      <c r="A175" s="177" t="s">
        <v>372</v>
      </c>
      <c r="B175" s="73" t="s">
        <v>526</v>
      </c>
      <c r="C175" s="72" t="s">
        <v>473</v>
      </c>
      <c r="D175" s="31"/>
      <c r="E175" s="68" t="s">
        <v>498</v>
      </c>
      <c r="F175" s="181" t="s">
        <v>567</v>
      </c>
      <c r="G175" s="158">
        <v>41503</v>
      </c>
      <c r="H175" s="158">
        <v>27083</v>
      </c>
      <c r="I175" s="158">
        <f>G175-H175-J175</f>
        <v>14420</v>
      </c>
      <c r="J175" s="158">
        <v>0</v>
      </c>
      <c r="K175" s="158">
        <v>39860</v>
      </c>
      <c r="L175" s="158">
        <v>27083</v>
      </c>
      <c r="M175" s="158">
        <v>12777</v>
      </c>
      <c r="N175" s="158">
        <v>0</v>
      </c>
      <c r="O175" s="158">
        <f>SUM(P175:R175)</f>
        <v>36151</v>
      </c>
      <c r="P175" s="158">
        <v>25150</v>
      </c>
      <c r="Q175" s="158">
        <v>11001</v>
      </c>
      <c r="R175" s="158">
        <v>0</v>
      </c>
      <c r="S175" s="158">
        <f>SUM(T175:V175)</f>
        <v>2433</v>
      </c>
      <c r="T175" s="158">
        <v>1933</v>
      </c>
      <c r="U175" s="158">
        <v>500</v>
      </c>
      <c r="V175" s="158"/>
      <c r="W175" s="158">
        <v>33350</v>
      </c>
      <c r="X175" s="158"/>
      <c r="Y175" s="158"/>
      <c r="Z175" s="158"/>
      <c r="AA175" s="212"/>
    </row>
    <row r="176" spans="1:27" ht="51" customHeight="1">
      <c r="A176" s="177" t="s">
        <v>374</v>
      </c>
      <c r="B176" s="73" t="s">
        <v>673</v>
      </c>
      <c r="C176" s="68" t="s">
        <v>364</v>
      </c>
      <c r="D176" s="31"/>
      <c r="E176" s="68"/>
      <c r="F176" s="181"/>
      <c r="G176" s="158">
        <v>650</v>
      </c>
      <c r="H176" s="158"/>
      <c r="I176" s="158">
        <v>650</v>
      </c>
      <c r="J176" s="158"/>
      <c r="K176" s="158">
        <f>SUM(L176:N176)</f>
        <v>200</v>
      </c>
      <c r="L176" s="158"/>
      <c r="M176" s="158">
        <v>200</v>
      </c>
      <c r="N176" s="158"/>
      <c r="O176" s="158"/>
      <c r="P176" s="158"/>
      <c r="Q176" s="158"/>
      <c r="R176" s="158"/>
      <c r="S176" s="158">
        <f>SUM(T176:V176)</f>
        <v>200</v>
      </c>
      <c r="T176" s="158"/>
      <c r="U176" s="158">
        <v>200</v>
      </c>
      <c r="V176" s="158"/>
      <c r="W176" s="158">
        <f t="shared" si="30"/>
        <v>0</v>
      </c>
      <c r="X176" s="158"/>
      <c r="Y176" s="158"/>
      <c r="Z176" s="158"/>
      <c r="AA176" s="212"/>
    </row>
    <row r="177" spans="1:27" ht="28.5" customHeight="1">
      <c r="A177" s="210" t="s">
        <v>804</v>
      </c>
      <c r="B177" s="14" t="s">
        <v>104</v>
      </c>
      <c r="C177" s="72"/>
      <c r="D177" s="31"/>
      <c r="E177" s="72"/>
      <c r="F177" s="72"/>
      <c r="G177" s="71">
        <f>G178+G180</f>
        <v>42283</v>
      </c>
      <c r="H177" s="71">
        <f aca="true" t="shared" si="38" ref="H177:M177">H178+H180</f>
        <v>16237.5</v>
      </c>
      <c r="I177" s="71">
        <f t="shared" si="38"/>
        <v>26045.5</v>
      </c>
      <c r="J177" s="71">
        <f t="shared" si="38"/>
        <v>0</v>
      </c>
      <c r="K177" s="71">
        <f t="shared" si="38"/>
        <v>40176</v>
      </c>
      <c r="L177" s="71">
        <f t="shared" si="38"/>
        <v>16237.5</v>
      </c>
      <c r="M177" s="71">
        <f t="shared" si="38"/>
        <v>23938.5</v>
      </c>
      <c r="N177" s="71">
        <f aca="true" t="shared" si="39" ref="N177:Z177">N178+N180</f>
        <v>0</v>
      </c>
      <c r="O177" s="71">
        <f t="shared" si="39"/>
        <v>27290</v>
      </c>
      <c r="P177" s="71">
        <f t="shared" si="39"/>
        <v>10509</v>
      </c>
      <c r="Q177" s="71">
        <f t="shared" si="39"/>
        <v>16781</v>
      </c>
      <c r="R177" s="71">
        <f t="shared" si="39"/>
        <v>0</v>
      </c>
      <c r="S177" s="71">
        <f t="shared" si="39"/>
        <v>3306</v>
      </c>
      <c r="T177" s="71">
        <f t="shared" si="39"/>
        <v>2000</v>
      </c>
      <c r="U177" s="71">
        <f t="shared" si="39"/>
        <v>1306</v>
      </c>
      <c r="V177" s="71">
        <f t="shared" si="39"/>
        <v>0</v>
      </c>
      <c r="W177" s="71">
        <f t="shared" si="39"/>
        <v>21245</v>
      </c>
      <c r="X177" s="71">
        <f t="shared" si="39"/>
        <v>0</v>
      </c>
      <c r="Y177" s="71">
        <f t="shared" si="39"/>
        <v>2741</v>
      </c>
      <c r="Z177" s="71">
        <f t="shared" si="39"/>
        <v>0</v>
      </c>
      <c r="AA177" s="212"/>
    </row>
    <row r="178" spans="1:27" s="156" customFormat="1" ht="31.5" customHeight="1">
      <c r="A178" s="153" t="s">
        <v>8</v>
      </c>
      <c r="B178" s="176" t="s">
        <v>793</v>
      </c>
      <c r="C178" s="154"/>
      <c r="D178" s="154"/>
      <c r="E178" s="154"/>
      <c r="F178" s="154"/>
      <c r="G178" s="155">
        <f>G179</f>
        <v>2921</v>
      </c>
      <c r="H178" s="155">
        <f aca="true" t="shared" si="40" ref="H178:Z178">H179</f>
        <v>0</v>
      </c>
      <c r="I178" s="155">
        <f t="shared" si="40"/>
        <v>2921</v>
      </c>
      <c r="J178" s="155">
        <f t="shared" si="40"/>
        <v>0</v>
      </c>
      <c r="K178" s="155">
        <f t="shared" si="40"/>
        <v>2741</v>
      </c>
      <c r="L178" s="155">
        <f t="shared" si="40"/>
        <v>0</v>
      </c>
      <c r="M178" s="155">
        <f t="shared" si="40"/>
        <v>2741</v>
      </c>
      <c r="N178" s="155">
        <f t="shared" si="40"/>
        <v>0</v>
      </c>
      <c r="O178" s="155">
        <f t="shared" si="40"/>
        <v>2435</v>
      </c>
      <c r="P178" s="155">
        <f t="shared" si="40"/>
        <v>0</v>
      </c>
      <c r="Q178" s="155">
        <f t="shared" si="40"/>
        <v>2435</v>
      </c>
      <c r="R178" s="155">
        <f t="shared" si="40"/>
        <v>0</v>
      </c>
      <c r="S178" s="155">
        <f t="shared" si="40"/>
        <v>306</v>
      </c>
      <c r="T178" s="155">
        <f t="shared" si="40"/>
        <v>0</v>
      </c>
      <c r="U178" s="155">
        <f t="shared" si="40"/>
        <v>306</v>
      </c>
      <c r="V178" s="155">
        <f t="shared" si="40"/>
        <v>0</v>
      </c>
      <c r="W178" s="155">
        <f t="shared" si="40"/>
        <v>2741</v>
      </c>
      <c r="X178" s="155">
        <f t="shared" si="40"/>
        <v>0</v>
      </c>
      <c r="Y178" s="155">
        <f t="shared" si="40"/>
        <v>2741</v>
      </c>
      <c r="Z178" s="155">
        <f t="shared" si="40"/>
        <v>0</v>
      </c>
      <c r="AA178" s="213"/>
    </row>
    <row r="179" spans="1:27" ht="26.25" customHeight="1">
      <c r="A179" s="177"/>
      <c r="B179" s="73" t="s">
        <v>805</v>
      </c>
      <c r="C179" s="68" t="s">
        <v>363</v>
      </c>
      <c r="D179" s="31"/>
      <c r="E179" s="68" t="s">
        <v>495</v>
      </c>
      <c r="F179" s="181" t="s">
        <v>806</v>
      </c>
      <c r="G179" s="158">
        <v>2921</v>
      </c>
      <c r="H179" s="158"/>
      <c r="I179" s="158">
        <v>2921</v>
      </c>
      <c r="J179" s="158"/>
      <c r="K179" s="158">
        <v>2741</v>
      </c>
      <c r="L179" s="158"/>
      <c r="M179" s="158">
        <v>2741</v>
      </c>
      <c r="N179" s="158"/>
      <c r="O179" s="158">
        <f>SUM(P179:R179)</f>
        <v>2435</v>
      </c>
      <c r="P179" s="158"/>
      <c r="Q179" s="158">
        <v>2435</v>
      </c>
      <c r="R179" s="158"/>
      <c r="S179" s="158">
        <f>SUM(T179:V179)</f>
        <v>306</v>
      </c>
      <c r="T179" s="158"/>
      <c r="U179" s="158">
        <v>306</v>
      </c>
      <c r="V179" s="158"/>
      <c r="W179" s="158">
        <f t="shared" si="30"/>
        <v>2741</v>
      </c>
      <c r="X179" s="158"/>
      <c r="Y179" s="158">
        <v>2741</v>
      </c>
      <c r="Z179" s="158"/>
      <c r="AA179" s="212"/>
    </row>
    <row r="180" spans="1:27" s="156" customFormat="1" ht="31.5" customHeight="1">
      <c r="A180" s="153" t="s">
        <v>11</v>
      </c>
      <c r="B180" s="176" t="s">
        <v>803</v>
      </c>
      <c r="C180" s="154"/>
      <c r="D180" s="154"/>
      <c r="E180" s="154"/>
      <c r="F180" s="154"/>
      <c r="G180" s="155">
        <f>SUM(G181)</f>
        <v>39362</v>
      </c>
      <c r="H180" s="155">
        <f aca="true" t="shared" si="41" ref="H180:Z180">SUM(H181)</f>
        <v>16237.5</v>
      </c>
      <c r="I180" s="155">
        <f t="shared" si="41"/>
        <v>23124.5</v>
      </c>
      <c r="J180" s="155">
        <f t="shared" si="41"/>
        <v>0</v>
      </c>
      <c r="K180" s="155">
        <f t="shared" si="41"/>
        <v>37435</v>
      </c>
      <c r="L180" s="155">
        <f t="shared" si="41"/>
        <v>16237.5</v>
      </c>
      <c r="M180" s="155">
        <f t="shared" si="41"/>
        <v>21197.5</v>
      </c>
      <c r="N180" s="155">
        <f t="shared" si="41"/>
        <v>0</v>
      </c>
      <c r="O180" s="155">
        <f t="shared" si="41"/>
        <v>24855</v>
      </c>
      <c r="P180" s="155">
        <f t="shared" si="41"/>
        <v>10509</v>
      </c>
      <c r="Q180" s="155">
        <f t="shared" si="41"/>
        <v>14346</v>
      </c>
      <c r="R180" s="155">
        <f t="shared" si="41"/>
        <v>0</v>
      </c>
      <c r="S180" s="155">
        <f t="shared" si="41"/>
        <v>3000</v>
      </c>
      <c r="T180" s="155">
        <f t="shared" si="41"/>
        <v>2000</v>
      </c>
      <c r="U180" s="155">
        <f t="shared" si="41"/>
        <v>1000</v>
      </c>
      <c r="V180" s="155">
        <f t="shared" si="41"/>
        <v>0</v>
      </c>
      <c r="W180" s="155">
        <f t="shared" si="41"/>
        <v>18504</v>
      </c>
      <c r="X180" s="155">
        <f t="shared" si="41"/>
        <v>0</v>
      </c>
      <c r="Y180" s="155">
        <f t="shared" si="41"/>
        <v>0</v>
      </c>
      <c r="Z180" s="155">
        <f t="shared" si="41"/>
        <v>0</v>
      </c>
      <c r="AA180" s="213"/>
    </row>
    <row r="181" spans="1:27" ht="31.5" customHeight="1">
      <c r="A181" s="177"/>
      <c r="B181" s="73" t="s">
        <v>611</v>
      </c>
      <c r="C181" s="68" t="s">
        <v>363</v>
      </c>
      <c r="D181" s="31"/>
      <c r="E181" s="68" t="s">
        <v>392</v>
      </c>
      <c r="F181" s="181" t="s">
        <v>642</v>
      </c>
      <c r="G181" s="158">
        <v>39362</v>
      </c>
      <c r="H181" s="158">
        <v>16237.5</v>
      </c>
      <c r="I181" s="158">
        <f>G181-H181-J181</f>
        <v>23124.5</v>
      </c>
      <c r="J181" s="158">
        <v>0</v>
      </c>
      <c r="K181" s="158">
        <f>SUM(L181:N181)</f>
        <v>37435</v>
      </c>
      <c r="L181" s="158">
        <v>16237.5</v>
      </c>
      <c r="M181" s="158">
        <v>21197.5</v>
      </c>
      <c r="N181" s="158">
        <v>0</v>
      </c>
      <c r="O181" s="158">
        <f>SUM(P181:R181)</f>
        <v>24855</v>
      </c>
      <c r="P181" s="158">
        <v>10509</v>
      </c>
      <c r="Q181" s="158">
        <v>14346</v>
      </c>
      <c r="R181" s="158">
        <v>0</v>
      </c>
      <c r="S181" s="158">
        <f>SUM(T181:V181)</f>
        <v>3000</v>
      </c>
      <c r="T181" s="158">
        <v>2000</v>
      </c>
      <c r="U181" s="158">
        <v>1000</v>
      </c>
      <c r="V181" s="158"/>
      <c r="W181" s="158">
        <v>18504</v>
      </c>
      <c r="X181" s="158"/>
      <c r="Y181" s="158"/>
      <c r="Z181" s="158"/>
      <c r="AA181" s="212"/>
    </row>
    <row r="182" spans="1:27" ht="27" customHeight="1">
      <c r="A182" s="210" t="s">
        <v>807</v>
      </c>
      <c r="B182" s="14" t="s">
        <v>106</v>
      </c>
      <c r="C182" s="72"/>
      <c r="D182" s="31"/>
      <c r="E182" s="72"/>
      <c r="F182" s="72"/>
      <c r="G182" s="71">
        <f>G183+G185</f>
        <v>4759</v>
      </c>
      <c r="H182" s="71">
        <f aca="true" t="shared" si="42" ref="H182:M182">H183+H185</f>
        <v>454</v>
      </c>
      <c r="I182" s="71">
        <f t="shared" si="42"/>
        <v>4305</v>
      </c>
      <c r="J182" s="71">
        <f t="shared" si="42"/>
        <v>0</v>
      </c>
      <c r="K182" s="71">
        <f t="shared" si="42"/>
        <v>4248</v>
      </c>
      <c r="L182" s="71">
        <f t="shared" si="42"/>
        <v>454</v>
      </c>
      <c r="M182" s="71">
        <f t="shared" si="42"/>
        <v>3794</v>
      </c>
      <c r="N182" s="71">
        <f aca="true" t="shared" si="43" ref="N182:Z182">N183+N185</f>
        <v>0</v>
      </c>
      <c r="O182" s="71">
        <f t="shared" si="43"/>
        <v>3343</v>
      </c>
      <c r="P182" s="71">
        <f t="shared" si="43"/>
        <v>454</v>
      </c>
      <c r="Q182" s="71">
        <f t="shared" si="43"/>
        <v>2889</v>
      </c>
      <c r="R182" s="71">
        <f t="shared" si="43"/>
        <v>0</v>
      </c>
      <c r="S182" s="71">
        <f t="shared" si="43"/>
        <v>905</v>
      </c>
      <c r="T182" s="71">
        <f t="shared" si="43"/>
        <v>0</v>
      </c>
      <c r="U182" s="71">
        <f t="shared" si="43"/>
        <v>905</v>
      </c>
      <c r="V182" s="71">
        <f t="shared" si="43"/>
        <v>0</v>
      </c>
      <c r="W182" s="71">
        <f t="shared" si="43"/>
        <v>4248</v>
      </c>
      <c r="X182" s="71">
        <f t="shared" si="43"/>
        <v>400</v>
      </c>
      <c r="Y182" s="71">
        <f t="shared" si="43"/>
        <v>3848</v>
      </c>
      <c r="Z182" s="71">
        <f t="shared" si="43"/>
        <v>0</v>
      </c>
      <c r="AA182" s="212"/>
    </row>
    <row r="183" spans="1:27" s="156" customFormat="1" ht="27" customHeight="1">
      <c r="A183" s="153" t="s">
        <v>8</v>
      </c>
      <c r="B183" s="176" t="s">
        <v>737</v>
      </c>
      <c r="C183" s="154"/>
      <c r="D183" s="154"/>
      <c r="E183" s="154"/>
      <c r="F183" s="154"/>
      <c r="G183" s="155">
        <f>G184</f>
        <v>754</v>
      </c>
      <c r="H183" s="155">
        <f aca="true" t="shared" si="44" ref="H183:Z183">H184</f>
        <v>0</v>
      </c>
      <c r="I183" s="155">
        <f t="shared" si="44"/>
        <v>754</v>
      </c>
      <c r="J183" s="155">
        <f t="shared" si="44"/>
        <v>0</v>
      </c>
      <c r="K183" s="155">
        <f t="shared" si="44"/>
        <v>732</v>
      </c>
      <c r="L183" s="155">
        <f t="shared" si="44"/>
        <v>0</v>
      </c>
      <c r="M183" s="155">
        <f t="shared" si="44"/>
        <v>732</v>
      </c>
      <c r="N183" s="155">
        <f t="shared" si="44"/>
        <v>0</v>
      </c>
      <c r="O183" s="155">
        <f t="shared" si="44"/>
        <v>620</v>
      </c>
      <c r="P183" s="155">
        <f t="shared" si="44"/>
        <v>0</v>
      </c>
      <c r="Q183" s="155">
        <f t="shared" si="44"/>
        <v>620</v>
      </c>
      <c r="R183" s="155">
        <f t="shared" si="44"/>
        <v>0</v>
      </c>
      <c r="S183" s="155">
        <f t="shared" si="44"/>
        <v>112</v>
      </c>
      <c r="T183" s="155">
        <f t="shared" si="44"/>
        <v>0</v>
      </c>
      <c r="U183" s="155">
        <f t="shared" si="44"/>
        <v>112</v>
      </c>
      <c r="V183" s="155">
        <f t="shared" si="44"/>
        <v>0</v>
      </c>
      <c r="W183" s="155">
        <f t="shared" si="44"/>
        <v>732</v>
      </c>
      <c r="X183" s="155">
        <f t="shared" si="44"/>
        <v>0</v>
      </c>
      <c r="Y183" s="155">
        <f t="shared" si="44"/>
        <v>732</v>
      </c>
      <c r="Z183" s="155">
        <f t="shared" si="44"/>
        <v>0</v>
      </c>
      <c r="AA183" s="213"/>
    </row>
    <row r="184" spans="1:27" ht="59.25" customHeight="1">
      <c r="A184" s="177"/>
      <c r="B184" s="73" t="s">
        <v>739</v>
      </c>
      <c r="C184" s="68" t="s">
        <v>363</v>
      </c>
      <c r="D184" s="31"/>
      <c r="E184" s="68">
        <v>2019</v>
      </c>
      <c r="F184" s="181" t="s">
        <v>744</v>
      </c>
      <c r="G184" s="158">
        <f>SUM(H184:J184)</f>
        <v>754</v>
      </c>
      <c r="H184" s="158"/>
      <c r="I184" s="158">
        <v>754</v>
      </c>
      <c r="J184" s="158"/>
      <c r="K184" s="158">
        <f>SUM(L184:N184)</f>
        <v>732</v>
      </c>
      <c r="L184" s="158"/>
      <c r="M184" s="158">
        <v>732</v>
      </c>
      <c r="N184" s="158"/>
      <c r="O184" s="158">
        <f>SUM(P184:R184)</f>
        <v>620</v>
      </c>
      <c r="P184" s="158"/>
      <c r="Q184" s="158">
        <v>620</v>
      </c>
      <c r="R184" s="158"/>
      <c r="S184" s="158">
        <f>SUM(T184:V184)</f>
        <v>112</v>
      </c>
      <c r="T184" s="158"/>
      <c r="U184" s="158">
        <v>112</v>
      </c>
      <c r="V184" s="158"/>
      <c r="W184" s="158">
        <f t="shared" si="30"/>
        <v>732</v>
      </c>
      <c r="X184" s="158"/>
      <c r="Y184" s="158">
        <v>732</v>
      </c>
      <c r="Z184" s="158"/>
      <c r="AA184" s="212"/>
    </row>
    <row r="185" spans="1:27" s="156" customFormat="1" ht="31.5" customHeight="1">
      <c r="A185" s="153" t="s">
        <v>11</v>
      </c>
      <c r="B185" s="176" t="s">
        <v>803</v>
      </c>
      <c r="C185" s="154"/>
      <c r="D185" s="154"/>
      <c r="E185" s="154"/>
      <c r="F185" s="154"/>
      <c r="G185" s="155">
        <f>G186</f>
        <v>4005</v>
      </c>
      <c r="H185" s="155">
        <f aca="true" t="shared" si="45" ref="H185:Z185">H186</f>
        <v>454</v>
      </c>
      <c r="I185" s="155">
        <f t="shared" si="45"/>
        <v>3551</v>
      </c>
      <c r="J185" s="155">
        <f t="shared" si="45"/>
        <v>0</v>
      </c>
      <c r="K185" s="155">
        <f t="shared" si="45"/>
        <v>3516</v>
      </c>
      <c r="L185" s="155">
        <f t="shared" si="45"/>
        <v>454</v>
      </c>
      <c r="M185" s="155">
        <f t="shared" si="45"/>
        <v>3062</v>
      </c>
      <c r="N185" s="155">
        <f t="shared" si="45"/>
        <v>0</v>
      </c>
      <c r="O185" s="155">
        <f t="shared" si="45"/>
        <v>2723</v>
      </c>
      <c r="P185" s="155">
        <f t="shared" si="45"/>
        <v>454</v>
      </c>
      <c r="Q185" s="155">
        <f t="shared" si="45"/>
        <v>2269</v>
      </c>
      <c r="R185" s="155">
        <f t="shared" si="45"/>
        <v>0</v>
      </c>
      <c r="S185" s="155">
        <f t="shared" si="45"/>
        <v>793</v>
      </c>
      <c r="T185" s="155">
        <f t="shared" si="45"/>
        <v>0</v>
      </c>
      <c r="U185" s="155">
        <f t="shared" si="45"/>
        <v>793</v>
      </c>
      <c r="V185" s="155">
        <f t="shared" si="45"/>
        <v>0</v>
      </c>
      <c r="W185" s="155">
        <f t="shared" si="45"/>
        <v>3516</v>
      </c>
      <c r="X185" s="155">
        <f t="shared" si="45"/>
        <v>400</v>
      </c>
      <c r="Y185" s="155">
        <f t="shared" si="45"/>
        <v>3116</v>
      </c>
      <c r="Z185" s="155">
        <f t="shared" si="45"/>
        <v>0</v>
      </c>
      <c r="AA185" s="213"/>
    </row>
    <row r="186" spans="1:27" ht="42" customHeight="1">
      <c r="A186" s="177"/>
      <c r="B186" s="73" t="s">
        <v>491</v>
      </c>
      <c r="C186" s="68" t="s">
        <v>353</v>
      </c>
      <c r="D186" s="31"/>
      <c r="E186" s="68" t="s">
        <v>506</v>
      </c>
      <c r="F186" s="181" t="s">
        <v>507</v>
      </c>
      <c r="G186" s="158">
        <v>4005</v>
      </c>
      <c r="H186" s="158">
        <v>454</v>
      </c>
      <c r="I186" s="158">
        <f>G186-H186</f>
        <v>3551</v>
      </c>
      <c r="J186" s="158"/>
      <c r="K186" s="158">
        <v>3516</v>
      </c>
      <c r="L186" s="158">
        <v>454</v>
      </c>
      <c r="M186" s="158">
        <v>3062</v>
      </c>
      <c r="N186" s="158"/>
      <c r="O186" s="158">
        <f>SUM(P186:R186)</f>
        <v>2723</v>
      </c>
      <c r="P186" s="158">
        <v>454</v>
      </c>
      <c r="Q186" s="158">
        <v>2269</v>
      </c>
      <c r="R186" s="158"/>
      <c r="S186" s="158">
        <f>SUM(T186:V186)</f>
        <v>793</v>
      </c>
      <c r="T186" s="158"/>
      <c r="U186" s="158">
        <v>793</v>
      </c>
      <c r="V186" s="158"/>
      <c r="W186" s="158">
        <f t="shared" si="30"/>
        <v>3516</v>
      </c>
      <c r="X186" s="158">
        <v>400</v>
      </c>
      <c r="Y186" s="158">
        <v>3116</v>
      </c>
      <c r="Z186" s="212"/>
      <c r="AA186" s="212"/>
    </row>
    <row r="187" spans="1:27" ht="35.25" customHeight="1">
      <c r="A187" s="210" t="s">
        <v>808</v>
      </c>
      <c r="B187" s="14" t="s">
        <v>809</v>
      </c>
      <c r="C187" s="72"/>
      <c r="D187" s="31"/>
      <c r="E187" s="72"/>
      <c r="F187" s="72"/>
      <c r="G187" s="71">
        <f>G188+G190</f>
        <v>23509</v>
      </c>
      <c r="H187" s="71">
        <f aca="true" t="shared" si="46" ref="H187:M187">H188+H190</f>
        <v>0</v>
      </c>
      <c r="I187" s="71">
        <f t="shared" si="46"/>
        <v>23509</v>
      </c>
      <c r="J187" s="71">
        <f t="shared" si="46"/>
        <v>0</v>
      </c>
      <c r="K187" s="71">
        <f t="shared" si="46"/>
        <v>9232</v>
      </c>
      <c r="L187" s="71">
        <f t="shared" si="46"/>
        <v>0</v>
      </c>
      <c r="M187" s="71">
        <f t="shared" si="46"/>
        <v>9232</v>
      </c>
      <c r="N187" s="71">
        <f aca="true" t="shared" si="47" ref="N187:Z187">N188+N190</f>
        <v>0</v>
      </c>
      <c r="O187" s="71">
        <f t="shared" si="47"/>
        <v>5719</v>
      </c>
      <c r="P187" s="71">
        <f t="shared" si="47"/>
        <v>0</v>
      </c>
      <c r="Q187" s="71">
        <f t="shared" si="47"/>
        <v>5719</v>
      </c>
      <c r="R187" s="71">
        <f t="shared" si="47"/>
        <v>0</v>
      </c>
      <c r="S187" s="71">
        <f t="shared" si="47"/>
        <v>3513</v>
      </c>
      <c r="T187" s="71">
        <f t="shared" si="47"/>
        <v>0</v>
      </c>
      <c r="U187" s="71">
        <f t="shared" si="47"/>
        <v>3513</v>
      </c>
      <c r="V187" s="71">
        <f t="shared" si="47"/>
        <v>0</v>
      </c>
      <c r="W187" s="71">
        <f t="shared" si="47"/>
        <v>6242</v>
      </c>
      <c r="X187" s="71">
        <f t="shared" si="47"/>
        <v>0</v>
      </c>
      <c r="Y187" s="71">
        <f t="shared" si="47"/>
        <v>6242</v>
      </c>
      <c r="Z187" s="71">
        <f t="shared" si="47"/>
        <v>0</v>
      </c>
      <c r="AA187" s="212"/>
    </row>
    <row r="188" spans="1:27" s="156" customFormat="1" ht="25.5" customHeight="1">
      <c r="A188" s="153" t="s">
        <v>8</v>
      </c>
      <c r="B188" s="176" t="s">
        <v>238</v>
      </c>
      <c r="C188" s="154"/>
      <c r="D188" s="154"/>
      <c r="E188" s="154"/>
      <c r="F188" s="154"/>
      <c r="G188" s="155">
        <f>G189</f>
        <v>547</v>
      </c>
      <c r="H188" s="155">
        <f aca="true" t="shared" si="48" ref="H188:Z188">H189</f>
        <v>0</v>
      </c>
      <c r="I188" s="155">
        <f t="shared" si="48"/>
        <v>547</v>
      </c>
      <c r="J188" s="155">
        <f t="shared" si="48"/>
        <v>0</v>
      </c>
      <c r="K188" s="155">
        <f t="shared" si="48"/>
        <v>521</v>
      </c>
      <c r="L188" s="155">
        <f t="shared" si="48"/>
        <v>0</v>
      </c>
      <c r="M188" s="155">
        <f t="shared" si="48"/>
        <v>521</v>
      </c>
      <c r="N188" s="155">
        <f t="shared" si="48"/>
        <v>0</v>
      </c>
      <c r="O188" s="155">
        <f t="shared" si="48"/>
        <v>345</v>
      </c>
      <c r="P188" s="155">
        <f t="shared" si="48"/>
        <v>0</v>
      </c>
      <c r="Q188" s="155">
        <f t="shared" si="48"/>
        <v>345</v>
      </c>
      <c r="R188" s="155">
        <f t="shared" si="48"/>
        <v>0</v>
      </c>
      <c r="S188" s="155">
        <f t="shared" si="48"/>
        <v>176</v>
      </c>
      <c r="T188" s="155">
        <f t="shared" si="48"/>
        <v>0</v>
      </c>
      <c r="U188" s="155">
        <f t="shared" si="48"/>
        <v>176</v>
      </c>
      <c r="V188" s="155">
        <f t="shared" si="48"/>
        <v>0</v>
      </c>
      <c r="W188" s="155">
        <f t="shared" si="48"/>
        <v>521</v>
      </c>
      <c r="X188" s="155">
        <f t="shared" si="48"/>
        <v>0</v>
      </c>
      <c r="Y188" s="155">
        <f t="shared" si="48"/>
        <v>521</v>
      </c>
      <c r="Z188" s="155">
        <f t="shared" si="48"/>
        <v>0</v>
      </c>
      <c r="AA188" s="213"/>
    </row>
    <row r="189" spans="1:27" ht="39" customHeight="1">
      <c r="A189" s="177"/>
      <c r="B189" s="73" t="s">
        <v>742</v>
      </c>
      <c r="C189" s="68" t="s">
        <v>363</v>
      </c>
      <c r="D189" s="31"/>
      <c r="E189" s="68">
        <v>2019</v>
      </c>
      <c r="F189" s="181" t="s">
        <v>747</v>
      </c>
      <c r="G189" s="158">
        <f>SUM(H189:J189)</f>
        <v>547</v>
      </c>
      <c r="H189" s="158"/>
      <c r="I189" s="158">
        <v>547</v>
      </c>
      <c r="J189" s="158"/>
      <c r="K189" s="158">
        <f>SUM(L189:N189)</f>
        <v>521</v>
      </c>
      <c r="L189" s="158"/>
      <c r="M189" s="158">
        <v>521</v>
      </c>
      <c r="N189" s="158"/>
      <c r="O189" s="158">
        <f>SUM(P189:R189)</f>
        <v>345</v>
      </c>
      <c r="P189" s="158"/>
      <c r="Q189" s="158">
        <f>150+195</f>
        <v>345</v>
      </c>
      <c r="R189" s="158"/>
      <c r="S189" s="158">
        <f>SUM(T189:V189)</f>
        <v>176</v>
      </c>
      <c r="T189" s="158"/>
      <c r="U189" s="158">
        <v>176</v>
      </c>
      <c r="V189" s="158"/>
      <c r="W189" s="158">
        <f t="shared" si="30"/>
        <v>521</v>
      </c>
      <c r="X189" s="212"/>
      <c r="Y189" s="158">
        <v>521</v>
      </c>
      <c r="Z189" s="212"/>
      <c r="AA189" s="212"/>
    </row>
    <row r="190" spans="1:27" s="156" customFormat="1" ht="31.5" customHeight="1">
      <c r="A190" s="153" t="s">
        <v>11</v>
      </c>
      <c r="B190" s="176" t="s">
        <v>803</v>
      </c>
      <c r="C190" s="154"/>
      <c r="D190" s="154"/>
      <c r="E190" s="154"/>
      <c r="F190" s="154"/>
      <c r="G190" s="155">
        <f>SUM(G191:G193)</f>
        <v>22962</v>
      </c>
      <c r="H190" s="155">
        <f aca="true" t="shared" si="49" ref="H190:Z190">SUM(H191:H193)</f>
        <v>0</v>
      </c>
      <c r="I190" s="155">
        <f t="shared" si="49"/>
        <v>22962</v>
      </c>
      <c r="J190" s="155">
        <f t="shared" si="49"/>
        <v>0</v>
      </c>
      <c r="K190" s="155">
        <f t="shared" si="49"/>
        <v>8711</v>
      </c>
      <c r="L190" s="155">
        <f t="shared" si="49"/>
        <v>0</v>
      </c>
      <c r="M190" s="155">
        <f t="shared" si="49"/>
        <v>8711</v>
      </c>
      <c r="N190" s="155">
        <f t="shared" si="49"/>
        <v>0</v>
      </c>
      <c r="O190" s="155">
        <f t="shared" si="49"/>
        <v>5374</v>
      </c>
      <c r="P190" s="155">
        <f t="shared" si="49"/>
        <v>0</v>
      </c>
      <c r="Q190" s="155">
        <f t="shared" si="49"/>
        <v>5374</v>
      </c>
      <c r="R190" s="155">
        <f t="shared" si="49"/>
        <v>0</v>
      </c>
      <c r="S190" s="155">
        <f t="shared" si="49"/>
        <v>3337</v>
      </c>
      <c r="T190" s="155">
        <f t="shared" si="49"/>
        <v>0</v>
      </c>
      <c r="U190" s="155">
        <f t="shared" si="49"/>
        <v>3337</v>
      </c>
      <c r="V190" s="155">
        <f t="shared" si="49"/>
        <v>0</v>
      </c>
      <c r="W190" s="155">
        <f t="shared" si="49"/>
        <v>5721</v>
      </c>
      <c r="X190" s="155">
        <f t="shared" si="49"/>
        <v>0</v>
      </c>
      <c r="Y190" s="155">
        <f t="shared" si="49"/>
        <v>5721</v>
      </c>
      <c r="Z190" s="155">
        <f t="shared" si="49"/>
        <v>0</v>
      </c>
      <c r="AA190" s="213"/>
    </row>
    <row r="191" spans="1:27" ht="39" customHeight="1">
      <c r="A191" s="177" t="s">
        <v>368</v>
      </c>
      <c r="B191" s="73" t="s">
        <v>483</v>
      </c>
      <c r="C191" s="68" t="s">
        <v>484</v>
      </c>
      <c r="D191" s="31"/>
      <c r="E191" s="68" t="s">
        <v>498</v>
      </c>
      <c r="F191" s="181" t="s">
        <v>499</v>
      </c>
      <c r="G191" s="158">
        <f>SUM(H191:J191)</f>
        <v>6562</v>
      </c>
      <c r="H191" s="158"/>
      <c r="I191" s="158">
        <v>6562</v>
      </c>
      <c r="J191" s="158"/>
      <c r="K191" s="158">
        <f>SUM(L191:N191)</f>
        <v>5721</v>
      </c>
      <c r="L191" s="158"/>
      <c r="M191" s="158">
        <v>5721</v>
      </c>
      <c r="N191" s="158"/>
      <c r="O191" s="158">
        <f>SUM(P191:R191)</f>
        <v>5374</v>
      </c>
      <c r="P191" s="158"/>
      <c r="Q191" s="158">
        <v>5374</v>
      </c>
      <c r="R191" s="158"/>
      <c r="S191" s="158">
        <f>SUM(T191:V191)</f>
        <v>347</v>
      </c>
      <c r="T191" s="158"/>
      <c r="U191" s="158">
        <v>347</v>
      </c>
      <c r="V191" s="158"/>
      <c r="W191" s="158">
        <f t="shared" si="30"/>
        <v>5721</v>
      </c>
      <c r="X191" s="158"/>
      <c r="Y191" s="158">
        <v>5721</v>
      </c>
      <c r="Z191" s="158"/>
      <c r="AA191" s="212"/>
    </row>
    <row r="192" spans="1:27" ht="39" customHeight="1">
      <c r="A192" s="177" t="s">
        <v>370</v>
      </c>
      <c r="B192" s="73" t="s">
        <v>672</v>
      </c>
      <c r="C192" s="68" t="s">
        <v>363</v>
      </c>
      <c r="D192" s="31"/>
      <c r="E192" s="68"/>
      <c r="F192" s="181"/>
      <c r="G192" s="158">
        <f>SUM(H192:J192)</f>
        <v>1400</v>
      </c>
      <c r="H192" s="158"/>
      <c r="I192" s="158">
        <v>1400</v>
      </c>
      <c r="J192" s="158"/>
      <c r="K192" s="158">
        <f>SUM(L192:N192)</f>
        <v>490</v>
      </c>
      <c r="L192" s="158"/>
      <c r="M192" s="158">
        <v>490</v>
      </c>
      <c r="N192" s="158"/>
      <c r="O192" s="158"/>
      <c r="P192" s="158"/>
      <c r="Q192" s="158"/>
      <c r="R192" s="158"/>
      <c r="S192" s="158">
        <f>SUM(T192:V192)</f>
        <v>490</v>
      </c>
      <c r="T192" s="158"/>
      <c r="U192" s="158">
        <v>490</v>
      </c>
      <c r="V192" s="158"/>
      <c r="W192" s="158">
        <f t="shared" si="30"/>
        <v>0</v>
      </c>
      <c r="X192" s="158"/>
      <c r="Y192" s="158"/>
      <c r="Z192" s="158"/>
      <c r="AA192" s="212"/>
    </row>
    <row r="193" spans="1:27" ht="29.25" customHeight="1">
      <c r="A193" s="177" t="s">
        <v>372</v>
      </c>
      <c r="B193" s="73" t="s">
        <v>810</v>
      </c>
      <c r="C193" s="68" t="s">
        <v>363</v>
      </c>
      <c r="D193" s="31"/>
      <c r="E193" s="68"/>
      <c r="F193" s="181"/>
      <c r="G193" s="158">
        <f>SUM(H193:J193)</f>
        <v>15000</v>
      </c>
      <c r="H193" s="158"/>
      <c r="I193" s="158">
        <v>15000</v>
      </c>
      <c r="J193" s="158"/>
      <c r="K193" s="158">
        <f>SUM(L193:N193)</f>
        <v>2500</v>
      </c>
      <c r="L193" s="158"/>
      <c r="M193" s="158">
        <v>2500</v>
      </c>
      <c r="N193" s="158"/>
      <c r="O193" s="158"/>
      <c r="P193" s="158"/>
      <c r="Q193" s="158"/>
      <c r="R193" s="158"/>
      <c r="S193" s="158">
        <f>SUM(T193:V193)</f>
        <v>2500</v>
      </c>
      <c r="T193" s="158"/>
      <c r="U193" s="158">
        <v>2500</v>
      </c>
      <c r="V193" s="158"/>
      <c r="W193" s="158">
        <f t="shared" si="30"/>
        <v>0</v>
      </c>
      <c r="X193" s="158"/>
      <c r="Y193" s="158"/>
      <c r="Z193" s="158"/>
      <c r="AA193" s="212"/>
    </row>
    <row r="194" spans="1:27" ht="25.5" customHeight="1">
      <c r="A194" s="210" t="s">
        <v>811</v>
      </c>
      <c r="B194" s="14" t="s">
        <v>812</v>
      </c>
      <c r="C194" s="72"/>
      <c r="D194" s="31"/>
      <c r="E194" s="72"/>
      <c r="F194" s="72"/>
      <c r="G194" s="71">
        <f>G195</f>
        <v>556</v>
      </c>
      <c r="H194" s="71">
        <f aca="true" t="shared" si="50" ref="H194:Z194">H195</f>
        <v>0</v>
      </c>
      <c r="I194" s="71">
        <f t="shared" si="50"/>
        <v>556</v>
      </c>
      <c r="J194" s="71">
        <f t="shared" si="50"/>
        <v>0</v>
      </c>
      <c r="K194" s="71">
        <f t="shared" si="50"/>
        <v>525</v>
      </c>
      <c r="L194" s="71">
        <f t="shared" si="50"/>
        <v>0</v>
      </c>
      <c r="M194" s="71">
        <f t="shared" si="50"/>
        <v>525</v>
      </c>
      <c r="N194" s="71">
        <f t="shared" si="50"/>
        <v>0</v>
      </c>
      <c r="O194" s="71">
        <f t="shared" si="50"/>
        <v>250</v>
      </c>
      <c r="P194" s="71">
        <f t="shared" si="50"/>
        <v>0</v>
      </c>
      <c r="Q194" s="71">
        <f t="shared" si="50"/>
        <v>250</v>
      </c>
      <c r="R194" s="71">
        <f t="shared" si="50"/>
        <v>0</v>
      </c>
      <c r="S194" s="71">
        <f t="shared" si="50"/>
        <v>275</v>
      </c>
      <c r="T194" s="71">
        <f t="shared" si="50"/>
        <v>0</v>
      </c>
      <c r="U194" s="71">
        <f t="shared" si="50"/>
        <v>275</v>
      </c>
      <c r="V194" s="71">
        <f t="shared" si="50"/>
        <v>0</v>
      </c>
      <c r="W194" s="71">
        <f t="shared" si="50"/>
        <v>520</v>
      </c>
      <c r="X194" s="71">
        <f t="shared" si="50"/>
        <v>0</v>
      </c>
      <c r="Y194" s="71">
        <f t="shared" si="50"/>
        <v>520</v>
      </c>
      <c r="Z194" s="71">
        <f t="shared" si="50"/>
        <v>0</v>
      </c>
      <c r="AA194" s="212"/>
    </row>
    <row r="195" spans="1:27" s="156" customFormat="1" ht="26.25" customHeight="1">
      <c r="A195" s="153" t="s">
        <v>197</v>
      </c>
      <c r="B195" s="176" t="s">
        <v>803</v>
      </c>
      <c r="C195" s="154"/>
      <c r="D195" s="154"/>
      <c r="E195" s="154"/>
      <c r="F195" s="154"/>
      <c r="G195" s="155">
        <f>G196</f>
        <v>556</v>
      </c>
      <c r="H195" s="155">
        <f aca="true" t="shared" si="51" ref="H195:Z195">H196</f>
        <v>0</v>
      </c>
      <c r="I195" s="155">
        <f t="shared" si="51"/>
        <v>556</v>
      </c>
      <c r="J195" s="155">
        <f t="shared" si="51"/>
        <v>0</v>
      </c>
      <c r="K195" s="155">
        <f t="shared" si="51"/>
        <v>525</v>
      </c>
      <c r="L195" s="155">
        <f t="shared" si="51"/>
        <v>0</v>
      </c>
      <c r="M195" s="155">
        <f t="shared" si="51"/>
        <v>525</v>
      </c>
      <c r="N195" s="155">
        <f t="shared" si="51"/>
        <v>0</v>
      </c>
      <c r="O195" s="155">
        <f t="shared" si="51"/>
        <v>250</v>
      </c>
      <c r="P195" s="155">
        <f t="shared" si="51"/>
        <v>0</v>
      </c>
      <c r="Q195" s="155">
        <f t="shared" si="51"/>
        <v>250</v>
      </c>
      <c r="R195" s="155">
        <f t="shared" si="51"/>
        <v>0</v>
      </c>
      <c r="S195" s="155">
        <f t="shared" si="51"/>
        <v>275</v>
      </c>
      <c r="T195" s="155">
        <f t="shared" si="51"/>
        <v>0</v>
      </c>
      <c r="U195" s="155">
        <f t="shared" si="51"/>
        <v>275</v>
      </c>
      <c r="V195" s="155">
        <f t="shared" si="51"/>
        <v>0</v>
      </c>
      <c r="W195" s="155">
        <f t="shared" si="51"/>
        <v>520</v>
      </c>
      <c r="X195" s="155">
        <f t="shared" si="51"/>
        <v>0</v>
      </c>
      <c r="Y195" s="155">
        <f t="shared" si="51"/>
        <v>520</v>
      </c>
      <c r="Z195" s="155">
        <f t="shared" si="51"/>
        <v>0</v>
      </c>
      <c r="AA195" s="213"/>
    </row>
    <row r="196" spans="1:27" ht="36.75" customHeight="1">
      <c r="A196" s="177"/>
      <c r="B196" s="73" t="s">
        <v>485</v>
      </c>
      <c r="C196" s="68" t="s">
        <v>363</v>
      </c>
      <c r="D196" s="31"/>
      <c r="E196" s="68" t="s">
        <v>380</v>
      </c>
      <c r="F196" s="181" t="s">
        <v>500</v>
      </c>
      <c r="G196" s="158">
        <f>SUM(H196:J196)</f>
        <v>556</v>
      </c>
      <c r="H196" s="158"/>
      <c r="I196" s="158">
        <v>556</v>
      </c>
      <c r="J196" s="158"/>
      <c r="K196" s="158">
        <f>SUM(L196:N196)</f>
        <v>525</v>
      </c>
      <c r="L196" s="158"/>
      <c r="M196" s="158">
        <v>525</v>
      </c>
      <c r="N196" s="158"/>
      <c r="O196" s="158">
        <f>SUM(P196:R196)</f>
        <v>250</v>
      </c>
      <c r="P196" s="158"/>
      <c r="Q196" s="158">
        <v>250</v>
      </c>
      <c r="R196" s="158"/>
      <c r="S196" s="158">
        <f>SUM(T196:V196)</f>
        <v>275</v>
      </c>
      <c r="T196" s="158"/>
      <c r="U196" s="158">
        <v>275</v>
      </c>
      <c r="V196" s="158"/>
      <c r="W196" s="158">
        <f t="shared" si="30"/>
        <v>520</v>
      </c>
      <c r="X196" s="158"/>
      <c r="Y196" s="158">
        <v>520</v>
      </c>
      <c r="Z196" s="158"/>
      <c r="AA196" s="212"/>
    </row>
  </sheetData>
  <sheetProtection/>
  <mergeCells count="27">
    <mergeCell ref="T5:V5"/>
    <mergeCell ref="T8:V8"/>
    <mergeCell ref="W6:Z7"/>
    <mergeCell ref="W8:W9"/>
    <mergeCell ref="X8:Z8"/>
    <mergeCell ref="O6:R7"/>
    <mergeCell ref="L8:N8"/>
    <mergeCell ref="O8:O9"/>
    <mergeCell ref="F6:J6"/>
    <mergeCell ref="A6:A9"/>
    <mergeCell ref="B6:B9"/>
    <mergeCell ref="AA6:AA9"/>
    <mergeCell ref="A2:AA2"/>
    <mergeCell ref="A3:AA3"/>
    <mergeCell ref="Y5:AA5"/>
    <mergeCell ref="S6:V7"/>
    <mergeCell ref="C6:C9"/>
    <mergeCell ref="D6:D9"/>
    <mergeCell ref="E6:E9"/>
    <mergeCell ref="F7:F9"/>
    <mergeCell ref="G7:J7"/>
    <mergeCell ref="G8:G9"/>
    <mergeCell ref="H8:J8"/>
    <mergeCell ref="K8:K9"/>
    <mergeCell ref="P8:R8"/>
    <mergeCell ref="S8:S9"/>
    <mergeCell ref="K6:N7"/>
  </mergeCells>
  <printOptions/>
  <pageMargins left="0.1968503937007874" right="0.1968503937007874" top="0.43" bottom="0.3937007874015748" header="0.31496062992125984" footer="0.2"/>
  <pageSetup horizontalDpi="600" verticalDpi="600" orientation="landscape" paperSize="9" r:id="rId1"/>
  <headerFooter>
    <oddFooter>&amp;CPage &amp;P</oddFooter>
  </headerFooter>
</worksheet>
</file>

<file path=xl/worksheets/sheet13.xml><?xml version="1.0" encoding="utf-8"?>
<worksheet xmlns="http://schemas.openxmlformats.org/spreadsheetml/2006/main" xmlns:r="http://schemas.openxmlformats.org/officeDocument/2006/relationships">
  <dimension ref="A4:W16"/>
  <sheetViews>
    <sheetView zoomScalePageLayoutView="0" workbookViewId="0" topLeftCell="A1">
      <selection activeCell="A3" sqref="A3:IV3"/>
    </sheetView>
  </sheetViews>
  <sheetFormatPr defaultColWidth="9.140625" defaultRowHeight="15"/>
  <cols>
    <col min="2" max="2" width="35.8515625" style="0" customWidth="1"/>
  </cols>
  <sheetData>
    <row r="4" spans="1:23" s="172" customFormat="1" ht="40.5" customHeight="1">
      <c r="A4" s="164"/>
      <c r="B4" s="165" t="s">
        <v>491</v>
      </c>
      <c r="C4" s="166" t="s">
        <v>353</v>
      </c>
      <c r="D4" s="167"/>
      <c r="E4" s="168" t="s">
        <v>506</v>
      </c>
      <c r="F4" s="169" t="s">
        <v>507</v>
      </c>
      <c r="G4" s="170">
        <v>4005</v>
      </c>
      <c r="H4" s="170">
        <v>400</v>
      </c>
      <c r="I4" s="170">
        <v>3605</v>
      </c>
      <c r="J4" s="170">
        <v>0</v>
      </c>
      <c r="K4" s="170">
        <v>3516</v>
      </c>
      <c r="L4" s="170">
        <v>400</v>
      </c>
      <c r="M4" s="170">
        <v>3116</v>
      </c>
      <c r="N4" s="170">
        <v>0</v>
      </c>
      <c r="O4" s="170">
        <f>SUM(P4:R4)</f>
        <v>2323</v>
      </c>
      <c r="P4" s="170">
        <v>0</v>
      </c>
      <c r="Q4" s="170">
        <v>2323</v>
      </c>
      <c r="R4" s="170">
        <v>0</v>
      </c>
      <c r="S4" s="170">
        <f>SUM(T4:V4)</f>
        <v>793</v>
      </c>
      <c r="T4" s="170"/>
      <c r="U4" s="170">
        <v>793</v>
      </c>
      <c r="V4" s="170"/>
      <c r="W4" s="171"/>
    </row>
    <row r="7" spans="1:23" s="172" customFormat="1" ht="40.5" customHeight="1">
      <c r="A7" s="164"/>
      <c r="B7" s="165" t="s">
        <v>483</v>
      </c>
      <c r="C7" s="166" t="s">
        <v>484</v>
      </c>
      <c r="D7" s="167"/>
      <c r="E7" s="168" t="s">
        <v>498</v>
      </c>
      <c r="F7" s="169" t="s">
        <v>499</v>
      </c>
      <c r="G7" s="170">
        <v>6562</v>
      </c>
      <c r="H7" s="170">
        <v>0</v>
      </c>
      <c r="I7" s="170">
        <v>5721</v>
      </c>
      <c r="J7" s="170">
        <v>0</v>
      </c>
      <c r="K7" s="170">
        <v>5721</v>
      </c>
      <c r="L7" s="170">
        <v>0</v>
      </c>
      <c r="M7" s="170">
        <v>5721</v>
      </c>
      <c r="N7" s="170">
        <v>0</v>
      </c>
      <c r="O7" s="170">
        <f>SUM(P7:R7)</f>
        <v>8331</v>
      </c>
      <c r="P7" s="170">
        <v>2957</v>
      </c>
      <c r="Q7" s="170">
        <v>5374</v>
      </c>
      <c r="R7" s="170">
        <v>0</v>
      </c>
      <c r="S7" s="170">
        <f>SUM(T7:V7)</f>
        <v>347</v>
      </c>
      <c r="T7" s="170"/>
      <c r="U7" s="170">
        <v>347</v>
      </c>
      <c r="V7" s="170"/>
      <c r="W7" s="171"/>
    </row>
    <row r="8" spans="1:23" s="172" customFormat="1" ht="40.5" customHeight="1">
      <c r="A8" s="164"/>
      <c r="B8" s="165" t="s">
        <v>485</v>
      </c>
      <c r="C8" s="166" t="s">
        <v>363</v>
      </c>
      <c r="D8" s="167"/>
      <c r="E8" s="168" t="s">
        <v>380</v>
      </c>
      <c r="F8" s="169" t="s">
        <v>500</v>
      </c>
      <c r="G8" s="170">
        <v>556</v>
      </c>
      <c r="H8" s="170">
        <v>0</v>
      </c>
      <c r="I8" s="170">
        <v>526</v>
      </c>
      <c r="J8" s="170">
        <v>0</v>
      </c>
      <c r="K8" s="170">
        <v>525</v>
      </c>
      <c r="L8" s="170">
        <v>0</v>
      </c>
      <c r="M8" s="170">
        <v>525</v>
      </c>
      <c r="N8" s="170">
        <v>0</v>
      </c>
      <c r="O8" s="170">
        <f>SUM(P8:R8)</f>
        <v>250</v>
      </c>
      <c r="P8" s="170">
        <v>0</v>
      </c>
      <c r="Q8" s="170">
        <v>250</v>
      </c>
      <c r="R8" s="170">
        <v>0</v>
      </c>
      <c r="S8" s="170">
        <f>SUM(T8:V8)</f>
        <v>275</v>
      </c>
      <c r="T8" s="170"/>
      <c r="U8" s="170">
        <v>275</v>
      </c>
      <c r="V8" s="170"/>
      <c r="W8" s="171"/>
    </row>
    <row r="10" spans="1:23" s="172" customFormat="1" ht="40.5" customHeight="1">
      <c r="A10" s="164" t="s">
        <v>733</v>
      </c>
      <c r="B10" s="165" t="s">
        <v>672</v>
      </c>
      <c r="C10" s="168" t="s">
        <v>363</v>
      </c>
      <c r="D10" s="167"/>
      <c r="E10" s="168"/>
      <c r="F10" s="169"/>
      <c r="G10" s="170">
        <v>1400</v>
      </c>
      <c r="H10" s="170"/>
      <c r="I10" s="170">
        <v>1400</v>
      </c>
      <c r="J10" s="170"/>
      <c r="K10" s="170">
        <f>SUM(L10:N10)</f>
        <v>490</v>
      </c>
      <c r="L10" s="170"/>
      <c r="M10" s="170">
        <v>490</v>
      </c>
      <c r="N10" s="170"/>
      <c r="O10" s="170"/>
      <c r="P10" s="170"/>
      <c r="Q10" s="170"/>
      <c r="R10" s="170"/>
      <c r="S10" s="170">
        <f>SUM(T10:V10)</f>
        <v>490</v>
      </c>
      <c r="T10" s="170"/>
      <c r="U10" s="170">
        <v>490</v>
      </c>
      <c r="V10" s="170"/>
      <c r="W10" s="171"/>
    </row>
    <row r="14" spans="1:23" s="1" customFormat="1" ht="63" customHeight="1">
      <c r="A14" s="157"/>
      <c r="B14" s="160" t="s">
        <v>739</v>
      </c>
      <c r="C14" s="162" t="s">
        <v>363</v>
      </c>
      <c r="D14" s="31"/>
      <c r="E14" s="162">
        <v>2019</v>
      </c>
      <c r="F14" s="161" t="s">
        <v>744</v>
      </c>
      <c r="G14" s="158">
        <v>754</v>
      </c>
      <c r="H14" s="158">
        <v>0</v>
      </c>
      <c r="I14" s="158">
        <v>754</v>
      </c>
      <c r="J14" s="158">
        <v>0</v>
      </c>
      <c r="K14" s="158">
        <v>732</v>
      </c>
      <c r="L14" s="158">
        <v>0</v>
      </c>
      <c r="M14" s="158">
        <v>732</v>
      </c>
      <c r="N14" s="158">
        <v>0</v>
      </c>
      <c r="O14" s="158">
        <f>SUM(P14:R14)</f>
        <v>620</v>
      </c>
      <c r="P14" s="158">
        <v>0</v>
      </c>
      <c r="Q14" s="158">
        <v>620</v>
      </c>
      <c r="R14" s="158">
        <v>0</v>
      </c>
      <c r="S14" s="158">
        <f>SUM(T14:V14)</f>
        <v>112</v>
      </c>
      <c r="T14" s="158"/>
      <c r="U14" s="158">
        <v>112</v>
      </c>
      <c r="V14" s="158"/>
      <c r="W14" s="40"/>
    </row>
    <row r="16" spans="1:23" s="1" customFormat="1" ht="48.75" customHeight="1">
      <c r="A16" s="157"/>
      <c r="B16" s="160" t="s">
        <v>742</v>
      </c>
      <c r="C16" s="162" t="s">
        <v>363</v>
      </c>
      <c r="D16" s="31"/>
      <c r="E16" s="162">
        <v>2019</v>
      </c>
      <c r="F16" s="161" t="s">
        <v>747</v>
      </c>
      <c r="G16" s="158">
        <v>547</v>
      </c>
      <c r="H16" s="158">
        <v>0</v>
      </c>
      <c r="I16" s="158">
        <v>547</v>
      </c>
      <c r="J16" s="158">
        <v>0</v>
      </c>
      <c r="K16" s="158">
        <v>521</v>
      </c>
      <c r="L16" s="158">
        <v>0</v>
      </c>
      <c r="M16" s="158">
        <v>521</v>
      </c>
      <c r="N16" s="158">
        <v>0</v>
      </c>
      <c r="O16" s="158">
        <f>SUM(P16:R16)</f>
        <v>345</v>
      </c>
      <c r="P16" s="158">
        <v>0</v>
      </c>
      <c r="Q16" s="158">
        <v>345</v>
      </c>
      <c r="R16" s="158">
        <v>0</v>
      </c>
      <c r="S16" s="158">
        <f>SUM(T16:V16)</f>
        <v>176</v>
      </c>
      <c r="T16" s="158"/>
      <c r="U16" s="158">
        <v>176</v>
      </c>
      <c r="V16" s="158"/>
      <c r="W16" s="4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40"/>
  <sheetViews>
    <sheetView zoomScalePageLayoutView="0" workbookViewId="0" topLeftCell="A1">
      <selection activeCell="B5" sqref="B1:B65536"/>
    </sheetView>
  </sheetViews>
  <sheetFormatPr defaultColWidth="9.00390625" defaultRowHeight="15"/>
  <cols>
    <col min="1" max="1" width="8.00390625" style="1" customWidth="1"/>
    <col min="2" max="2" width="39.421875" style="1" customWidth="1"/>
    <col min="3" max="3" width="11.421875" style="1" customWidth="1"/>
    <col min="4" max="4" width="12.00390625" style="1" customWidth="1"/>
    <col min="5" max="5" width="10.57421875" style="1" customWidth="1"/>
    <col min="6" max="9" width="9.00390625" style="1" customWidth="1"/>
    <col min="10" max="10" width="10.7109375" style="1" bestFit="1" customWidth="1"/>
    <col min="11" max="11" width="9.421875" style="1" bestFit="1" customWidth="1"/>
    <col min="12" max="16384" width="9.00390625" style="1" customWidth="1"/>
  </cols>
  <sheetData>
    <row r="1" spans="1:6" ht="25.5" customHeight="1">
      <c r="A1" s="226" t="s">
        <v>316</v>
      </c>
      <c r="B1" s="226"/>
      <c r="E1" s="227" t="s">
        <v>30</v>
      </c>
      <c r="F1" s="227"/>
    </row>
    <row r="2" ht="14.25">
      <c r="A2" s="3"/>
    </row>
    <row r="3" spans="1:6" ht="42.75" customHeight="1">
      <c r="A3" s="228" t="s">
        <v>318</v>
      </c>
      <c r="B3" s="228"/>
      <c r="C3" s="228"/>
      <c r="D3" s="228"/>
      <c r="E3" s="228"/>
      <c r="F3" s="228"/>
    </row>
    <row r="4" spans="1:6" ht="14.25">
      <c r="A4" s="225" t="s">
        <v>1</v>
      </c>
      <c r="B4" s="225"/>
      <c r="C4" s="225"/>
      <c r="D4" s="225"/>
      <c r="E4" s="225"/>
      <c r="F4" s="225"/>
    </row>
    <row r="5" spans="1:6" ht="14.25">
      <c r="A5" s="4"/>
      <c r="B5" s="4"/>
      <c r="C5" s="4"/>
      <c r="D5" s="4"/>
      <c r="E5" s="4"/>
      <c r="F5" s="4"/>
    </row>
    <row r="6" spans="4:6" ht="14.25">
      <c r="D6" s="229" t="s">
        <v>31</v>
      </c>
      <c r="E6" s="229"/>
      <c r="F6" s="229"/>
    </row>
    <row r="7" spans="1:6" ht="24" customHeight="1">
      <c r="A7" s="230" t="s">
        <v>2</v>
      </c>
      <c r="B7" s="230" t="s">
        <v>3</v>
      </c>
      <c r="C7" s="230" t="s">
        <v>217</v>
      </c>
      <c r="D7" s="230" t="s">
        <v>317</v>
      </c>
      <c r="E7" s="230" t="s">
        <v>309</v>
      </c>
      <c r="F7" s="230" t="s">
        <v>46</v>
      </c>
    </row>
    <row r="8" spans="1:6" ht="24" customHeight="1">
      <c r="A8" s="230"/>
      <c r="B8" s="230"/>
      <c r="C8" s="230" t="s">
        <v>186</v>
      </c>
      <c r="D8" s="230" t="s">
        <v>4</v>
      </c>
      <c r="E8" s="230"/>
      <c r="F8" s="230"/>
    </row>
    <row r="9" spans="1:6" ht="14.25">
      <c r="A9" s="12" t="s">
        <v>6</v>
      </c>
      <c r="B9" s="12" t="s">
        <v>7</v>
      </c>
      <c r="C9" s="22">
        <v>1</v>
      </c>
      <c r="D9" s="22">
        <v>2</v>
      </c>
      <c r="E9" s="22">
        <v>3</v>
      </c>
      <c r="F9" s="22">
        <v>4</v>
      </c>
    </row>
    <row r="10" spans="1:6" ht="21.75" customHeight="1">
      <c r="A10" s="10" t="s">
        <v>6</v>
      </c>
      <c r="B10" s="11" t="s">
        <v>32</v>
      </c>
      <c r="C10" s="23"/>
      <c r="D10" s="23"/>
      <c r="E10" s="23"/>
      <c r="F10" s="23"/>
    </row>
    <row r="11" spans="1:6" ht="21.75" customHeight="1">
      <c r="A11" s="5" t="s">
        <v>8</v>
      </c>
      <c r="B11" s="26" t="s">
        <v>33</v>
      </c>
      <c r="C11" s="39">
        <f>C12+C13+C16+C17+C18+C19+C20</f>
        <v>844039</v>
      </c>
      <c r="D11" s="39">
        <f>D12+D13+D16+D17+D18+D19+D20</f>
        <v>1206095</v>
      </c>
      <c r="E11" s="39">
        <f>E12+E13+E16+E17+E18+E19+E20</f>
        <v>835740</v>
      </c>
      <c r="F11" s="35">
        <f>E11/D11*100</f>
        <v>69.29304905500811</v>
      </c>
    </row>
    <row r="12" spans="1:6" ht="21.75" customHeight="1">
      <c r="A12" s="7">
        <v>1</v>
      </c>
      <c r="B12" s="6" t="s">
        <v>34</v>
      </c>
      <c r="C12" s="20">
        <v>485059</v>
      </c>
      <c r="D12" s="20">
        <v>569777</v>
      </c>
      <c r="E12" s="20">
        <v>481208</v>
      </c>
      <c r="F12" s="38">
        <f>E12/D12*100</f>
        <v>84.45549750165415</v>
      </c>
    </row>
    <row r="13" spans="1:6" ht="21.75" customHeight="1">
      <c r="A13" s="7">
        <v>2</v>
      </c>
      <c r="B13" s="6" t="s">
        <v>12</v>
      </c>
      <c r="C13" s="20">
        <f>C14+C15</f>
        <v>351226</v>
      </c>
      <c r="D13" s="20">
        <f>D14+D15</f>
        <v>487982</v>
      </c>
      <c r="E13" s="20">
        <f>E14+E15</f>
        <v>336588</v>
      </c>
      <c r="F13" s="38">
        <f aca="true" t="shared" si="0" ref="F13:F20">E13/D13*100</f>
        <v>68.9754949977663</v>
      </c>
    </row>
    <row r="14" spans="1:6" ht="21.75" customHeight="1">
      <c r="A14" s="7" t="s">
        <v>10</v>
      </c>
      <c r="B14" s="6" t="s">
        <v>13</v>
      </c>
      <c r="C14" s="20">
        <v>202946</v>
      </c>
      <c r="D14" s="20">
        <v>202946</v>
      </c>
      <c r="E14" s="20">
        <v>202946</v>
      </c>
      <c r="F14" s="38">
        <f t="shared" si="0"/>
        <v>100</v>
      </c>
    </row>
    <row r="15" spans="1:6" ht="21.75" customHeight="1">
      <c r="A15" s="7" t="s">
        <v>10</v>
      </c>
      <c r="B15" s="6" t="s">
        <v>14</v>
      </c>
      <c r="C15" s="20">
        <v>148280</v>
      </c>
      <c r="D15" s="20">
        <v>285036</v>
      </c>
      <c r="E15" s="20">
        <v>133642</v>
      </c>
      <c r="F15" s="38">
        <f t="shared" si="0"/>
        <v>46.88600738152374</v>
      </c>
    </row>
    <row r="16" spans="1:6" ht="21.75" customHeight="1">
      <c r="A16" s="7">
        <v>3</v>
      </c>
      <c r="B16" s="6" t="s">
        <v>16</v>
      </c>
      <c r="C16" s="19"/>
      <c r="D16" s="20"/>
      <c r="E16" s="19"/>
      <c r="F16" s="38"/>
    </row>
    <row r="17" spans="1:6" ht="33" customHeight="1">
      <c r="A17" s="7">
        <v>4</v>
      </c>
      <c r="B17" s="6" t="s">
        <v>18</v>
      </c>
      <c r="C17" s="20"/>
      <c r="D17" s="20">
        <v>142176</v>
      </c>
      <c r="E17" s="20"/>
      <c r="F17" s="38">
        <f t="shared" si="0"/>
        <v>0</v>
      </c>
    </row>
    <row r="18" spans="1:6" ht="21.75" customHeight="1">
      <c r="A18" s="7">
        <v>5</v>
      </c>
      <c r="B18" s="6" t="s">
        <v>187</v>
      </c>
      <c r="C18" s="20">
        <v>7754</v>
      </c>
      <c r="D18" s="20"/>
      <c r="E18" s="20">
        <v>17944</v>
      </c>
      <c r="F18" s="38"/>
    </row>
    <row r="19" spans="1:6" ht="21.75" customHeight="1">
      <c r="A19" s="7">
        <v>6</v>
      </c>
      <c r="B19" s="6" t="s">
        <v>190</v>
      </c>
      <c r="C19" s="20"/>
      <c r="D19" s="20"/>
      <c r="E19" s="19"/>
      <c r="F19" s="38"/>
    </row>
    <row r="20" spans="1:6" ht="21.75" customHeight="1">
      <c r="A20" s="7">
        <v>7</v>
      </c>
      <c r="B20" s="6" t="s">
        <v>191</v>
      </c>
      <c r="C20" s="20"/>
      <c r="D20" s="20">
        <v>6160</v>
      </c>
      <c r="E20" s="19"/>
      <c r="F20" s="38">
        <f t="shared" si="0"/>
        <v>0</v>
      </c>
    </row>
    <row r="21" spans="1:6" ht="21.75" customHeight="1">
      <c r="A21" s="5" t="s">
        <v>11</v>
      </c>
      <c r="B21" s="26" t="s">
        <v>35</v>
      </c>
      <c r="C21" s="39">
        <f>C22+C23+C26</f>
        <v>844039</v>
      </c>
      <c r="D21" s="39">
        <f>D22+D23+D26</f>
        <v>964888</v>
      </c>
      <c r="E21" s="39">
        <f>E22+E23+E26</f>
        <v>835740</v>
      </c>
      <c r="F21" s="35">
        <f>E21/C21*100</f>
        <v>99.01675159560163</v>
      </c>
    </row>
    <row r="22" spans="1:10" ht="29.25" customHeight="1">
      <c r="A22" s="7">
        <v>1</v>
      </c>
      <c r="B22" s="6" t="s">
        <v>36</v>
      </c>
      <c r="C22" s="20">
        <v>772137</v>
      </c>
      <c r="D22" s="20">
        <v>771679</v>
      </c>
      <c r="E22" s="20">
        <v>764603</v>
      </c>
      <c r="F22" s="38">
        <f>E22/C22*100</f>
        <v>99.02426641904222</v>
      </c>
      <c r="J22" s="40">
        <f>D11+D28</f>
        <v>1523375</v>
      </c>
    </row>
    <row r="23" spans="1:10" ht="21.75" customHeight="1">
      <c r="A23" s="7">
        <v>2</v>
      </c>
      <c r="B23" s="6" t="s">
        <v>37</v>
      </c>
      <c r="C23" s="20">
        <f>SUM(C24:C25)</f>
        <v>71902</v>
      </c>
      <c r="D23" s="20">
        <f>SUM(D24:D25)</f>
        <v>193209</v>
      </c>
      <c r="E23" s="20">
        <f>SUM(E24:E25)</f>
        <v>71137</v>
      </c>
      <c r="F23" s="38">
        <f>E23/C23*100</f>
        <v>98.93605184834914</v>
      </c>
      <c r="J23" s="40">
        <f>D21+D36</f>
        <v>1282168</v>
      </c>
    </row>
    <row r="24" spans="1:10" ht="21.75" customHeight="1">
      <c r="A24" s="7" t="s">
        <v>38</v>
      </c>
      <c r="B24" s="6" t="s">
        <v>39</v>
      </c>
      <c r="C24" s="20">
        <v>51320</v>
      </c>
      <c r="D24" s="20">
        <v>51320</v>
      </c>
      <c r="E24" s="20">
        <v>51320</v>
      </c>
      <c r="F24" s="38">
        <f>E24/C24*100</f>
        <v>100</v>
      </c>
      <c r="J24" s="40">
        <f>J22-J23</f>
        <v>241207</v>
      </c>
    </row>
    <row r="25" spans="1:6" ht="21.75" customHeight="1">
      <c r="A25" s="7" t="s">
        <v>38</v>
      </c>
      <c r="B25" s="6" t="s">
        <v>40</v>
      </c>
      <c r="C25" s="20">
        <v>20582</v>
      </c>
      <c r="D25" s="20">
        <v>141889</v>
      </c>
      <c r="E25" s="20">
        <v>19817</v>
      </c>
      <c r="F25" s="38">
        <f>E25/C25*100</f>
        <v>96.28316004275581</v>
      </c>
    </row>
    <row r="26" spans="1:6" ht="21.75" customHeight="1">
      <c r="A26" s="7">
        <v>3</v>
      </c>
      <c r="B26" s="6" t="s">
        <v>28</v>
      </c>
      <c r="C26" s="19"/>
      <c r="D26" s="19"/>
      <c r="E26" s="19"/>
      <c r="F26" s="38"/>
    </row>
    <row r="27" spans="1:6" ht="21.75" customHeight="1">
      <c r="A27" s="5" t="s">
        <v>7</v>
      </c>
      <c r="B27" s="26" t="s">
        <v>41</v>
      </c>
      <c r="C27" s="19"/>
      <c r="D27" s="19"/>
      <c r="E27" s="19"/>
      <c r="F27" s="24"/>
    </row>
    <row r="28" spans="1:11" ht="21.75" customHeight="1">
      <c r="A28" s="5" t="s">
        <v>8</v>
      </c>
      <c r="B28" s="26" t="s">
        <v>33</v>
      </c>
      <c r="C28" s="39">
        <f>C29+C30+C33+C34+C35</f>
        <v>125083</v>
      </c>
      <c r="D28" s="39">
        <f>D29+D30+D33+D34+D35</f>
        <v>317280</v>
      </c>
      <c r="E28" s="39">
        <f>E29+E30+E33+E34+E35</f>
        <v>122690</v>
      </c>
      <c r="F28" s="35">
        <f>E28/D28*100</f>
        <v>38.669314170448814</v>
      </c>
      <c r="K28" s="40">
        <f>E28-E31</f>
        <v>71370</v>
      </c>
    </row>
    <row r="29" spans="1:6" ht="30.75" customHeight="1">
      <c r="A29" s="7">
        <v>1</v>
      </c>
      <c r="B29" s="6" t="s">
        <v>150</v>
      </c>
      <c r="C29" s="20">
        <v>53181</v>
      </c>
      <c r="D29" s="20">
        <v>66903</v>
      </c>
      <c r="E29" s="20">
        <v>51553</v>
      </c>
      <c r="F29" s="38">
        <f>E29/D29*100</f>
        <v>77.05633529139202</v>
      </c>
    </row>
    <row r="30" spans="1:6" ht="21.75" customHeight="1">
      <c r="A30" s="7">
        <v>2</v>
      </c>
      <c r="B30" s="6" t="s">
        <v>42</v>
      </c>
      <c r="C30" s="20">
        <f>C31+C32</f>
        <v>71902</v>
      </c>
      <c r="D30" s="20">
        <f>D31+D32</f>
        <v>193209</v>
      </c>
      <c r="E30" s="20">
        <f>E31+E32</f>
        <v>71137</v>
      </c>
      <c r="F30" s="38">
        <f>E30/D30*100</f>
        <v>36.81867821892355</v>
      </c>
    </row>
    <row r="31" spans="1:6" ht="21.75" customHeight="1">
      <c r="A31" s="7" t="s">
        <v>43</v>
      </c>
      <c r="B31" s="6" t="s">
        <v>13</v>
      </c>
      <c r="C31" s="20">
        <v>51320</v>
      </c>
      <c r="D31" s="20">
        <v>51320</v>
      </c>
      <c r="E31" s="20">
        <v>51320</v>
      </c>
      <c r="F31" s="38">
        <f>E31/D31*100</f>
        <v>100</v>
      </c>
    </row>
    <row r="32" spans="1:6" ht="21.75" customHeight="1">
      <c r="A32" s="7" t="s">
        <v>43</v>
      </c>
      <c r="B32" s="6" t="s">
        <v>14</v>
      </c>
      <c r="C32" s="20">
        <v>20582</v>
      </c>
      <c r="D32" s="20">
        <v>141889</v>
      </c>
      <c r="E32" s="20">
        <v>19817</v>
      </c>
      <c r="F32" s="38">
        <f>E32/D32*100</f>
        <v>13.96655131828401</v>
      </c>
    </row>
    <row r="33" spans="1:6" ht="21.75" customHeight="1">
      <c r="A33" s="7">
        <v>3</v>
      </c>
      <c r="B33" s="6" t="s">
        <v>16</v>
      </c>
      <c r="C33" s="20"/>
      <c r="D33" s="20">
        <v>822</v>
      </c>
      <c r="E33" s="20"/>
      <c r="F33" s="38"/>
    </row>
    <row r="34" spans="1:6" ht="31.5" customHeight="1">
      <c r="A34" s="7">
        <v>4</v>
      </c>
      <c r="B34" s="6" t="s">
        <v>18</v>
      </c>
      <c r="C34" s="24"/>
      <c r="D34" s="20">
        <v>53879</v>
      </c>
      <c r="E34" s="24"/>
      <c r="F34" s="38"/>
    </row>
    <row r="35" spans="1:6" ht="21.75" customHeight="1">
      <c r="A35" s="25">
        <v>5</v>
      </c>
      <c r="B35" s="27" t="s">
        <v>190</v>
      </c>
      <c r="C35" s="41"/>
      <c r="D35" s="41">
        <v>2467</v>
      </c>
      <c r="E35" s="41"/>
      <c r="F35" s="43"/>
    </row>
    <row r="36" spans="1:6" ht="21.75" customHeight="1">
      <c r="A36" s="13" t="s">
        <v>11</v>
      </c>
      <c r="B36" s="14" t="s">
        <v>35</v>
      </c>
      <c r="C36" s="33">
        <v>107184</v>
      </c>
      <c r="D36" s="33">
        <v>317280</v>
      </c>
      <c r="E36" s="33">
        <v>122690</v>
      </c>
      <c r="F36" s="36">
        <f>E36/C36*100</f>
        <v>114.46671144947007</v>
      </c>
    </row>
    <row r="37" ht="14.25" hidden="1">
      <c r="A37" s="3" t="s">
        <v>44</v>
      </c>
    </row>
    <row r="39" ht="14.25">
      <c r="D39" s="40"/>
    </row>
    <row r="40" ht="14.25">
      <c r="D40" s="40"/>
    </row>
  </sheetData>
  <sheetProtection/>
  <mergeCells count="11">
    <mergeCell ref="A7:A8"/>
    <mergeCell ref="B7:B8"/>
    <mergeCell ref="E7:E8"/>
    <mergeCell ref="F7:F8"/>
    <mergeCell ref="C7:C8"/>
    <mergeCell ref="D7:D8"/>
    <mergeCell ref="A1:B1"/>
    <mergeCell ref="E1:F1"/>
    <mergeCell ref="A3:F3"/>
    <mergeCell ref="A4:F4"/>
    <mergeCell ref="D6:F6"/>
  </mergeCells>
  <printOptions/>
  <pageMargins left="0.7" right="0.4" top="0.49" bottom="0.51" header="0.3" footer="0.3"/>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H44"/>
  <sheetViews>
    <sheetView zoomScalePageLayoutView="0" workbookViewId="0" topLeftCell="A30">
      <selection activeCell="A2" sqref="A2"/>
    </sheetView>
  </sheetViews>
  <sheetFormatPr defaultColWidth="9.00390625" defaultRowHeight="15"/>
  <cols>
    <col min="1" max="1" width="4.8515625" style="1" customWidth="1"/>
    <col min="2" max="2" width="26.28125" style="1" customWidth="1"/>
    <col min="3" max="4" width="10.140625" style="1" bestFit="1" customWidth="1"/>
    <col min="5" max="6" width="9.7109375" style="1" customWidth="1"/>
    <col min="7" max="8" width="9.140625" style="1" bestFit="1" customWidth="1"/>
    <col min="9" max="16384" width="9.00390625" style="1" customWidth="1"/>
  </cols>
  <sheetData>
    <row r="1" spans="1:8" ht="30.75" customHeight="1">
      <c r="A1" s="231" t="s">
        <v>316</v>
      </c>
      <c r="B1" s="231"/>
      <c r="G1" s="227" t="s">
        <v>45</v>
      </c>
      <c r="H1" s="227"/>
    </row>
    <row r="2" ht="14.25">
      <c r="A2" s="28"/>
    </row>
    <row r="3" spans="1:8" ht="18">
      <c r="A3" s="224" t="s">
        <v>319</v>
      </c>
      <c r="B3" s="224"/>
      <c r="C3" s="224"/>
      <c r="D3" s="224"/>
      <c r="E3" s="224"/>
      <c r="F3" s="224"/>
      <c r="G3" s="224"/>
      <c r="H3" s="224"/>
    </row>
    <row r="4" spans="1:8" ht="14.25">
      <c r="A4" s="225" t="s">
        <v>1</v>
      </c>
      <c r="B4" s="225"/>
      <c r="C4" s="225"/>
      <c r="D4" s="225"/>
      <c r="E4" s="225"/>
      <c r="F4" s="225"/>
      <c r="G4" s="225"/>
      <c r="H4" s="225"/>
    </row>
    <row r="5" spans="1:8" ht="14.25">
      <c r="A5" s="4"/>
      <c r="B5" s="4"/>
      <c r="C5" s="4"/>
      <c r="D5" s="4"/>
      <c r="E5" s="4"/>
      <c r="F5" s="4"/>
      <c r="G5" s="4"/>
      <c r="H5" s="4"/>
    </row>
    <row r="6" spans="6:8" ht="14.25">
      <c r="F6" s="232" t="s">
        <v>31</v>
      </c>
      <c r="G6" s="232"/>
      <c r="H6" s="232"/>
    </row>
    <row r="7" spans="1:8" ht="25.5" customHeight="1">
      <c r="A7" s="233" t="s">
        <v>2</v>
      </c>
      <c r="B7" s="233" t="s">
        <v>3</v>
      </c>
      <c r="C7" s="230" t="s">
        <v>317</v>
      </c>
      <c r="D7" s="230"/>
      <c r="E7" s="230" t="s">
        <v>309</v>
      </c>
      <c r="F7" s="230"/>
      <c r="G7" s="230" t="s">
        <v>46</v>
      </c>
      <c r="H7" s="230"/>
    </row>
    <row r="8" spans="1:8" ht="41.25" customHeight="1">
      <c r="A8" s="234"/>
      <c r="B8" s="234"/>
      <c r="C8" s="30" t="s">
        <v>47</v>
      </c>
      <c r="D8" s="30" t="s">
        <v>48</v>
      </c>
      <c r="E8" s="30" t="s">
        <v>47</v>
      </c>
      <c r="F8" s="30" t="s">
        <v>48</v>
      </c>
      <c r="G8" s="30" t="s">
        <v>47</v>
      </c>
      <c r="H8" s="30" t="s">
        <v>48</v>
      </c>
    </row>
    <row r="9" spans="1:8" ht="14.25">
      <c r="A9" s="31" t="s">
        <v>6</v>
      </c>
      <c r="B9" s="31" t="s">
        <v>7</v>
      </c>
      <c r="C9" s="31">
        <v>1</v>
      </c>
      <c r="D9" s="31">
        <v>2</v>
      </c>
      <c r="E9" s="31">
        <v>3</v>
      </c>
      <c r="F9" s="31">
        <v>4</v>
      </c>
      <c r="G9" s="31" t="s">
        <v>49</v>
      </c>
      <c r="H9" s="31" t="s">
        <v>50</v>
      </c>
    </row>
    <row r="10" spans="1:8" ht="32.25" customHeight="1">
      <c r="A10" s="29"/>
      <c r="B10" s="11" t="s">
        <v>51</v>
      </c>
      <c r="C10" s="21">
        <f>C11+C44</f>
        <v>655195</v>
      </c>
      <c r="D10" s="21">
        <f>D11+D44</f>
        <v>636680</v>
      </c>
      <c r="E10" s="21">
        <f>E11+E44</f>
        <v>533761</v>
      </c>
      <c r="F10" s="21">
        <f>F11+F44</f>
        <v>532761</v>
      </c>
      <c r="G10" s="50">
        <f>E10/C10*100</f>
        <v>81.46597577820344</v>
      </c>
      <c r="H10" s="50">
        <f>F10/D10*100</f>
        <v>83.67798580134448</v>
      </c>
    </row>
    <row r="11" spans="1:8" ht="20.25" customHeight="1">
      <c r="A11" s="74" t="s">
        <v>8</v>
      </c>
      <c r="B11" s="11" t="s">
        <v>52</v>
      </c>
      <c r="C11" s="21">
        <f>C12+C14+C18+C19+C30+C31+C32+C33+C34+C35+C36+C37+C38+C39+C41+C42+C43</f>
        <v>655195</v>
      </c>
      <c r="D11" s="21">
        <f>D12+D14+D18+D19+D30+D31+D32+D33+D34+D35+D36+D37+D38+D39+D41+D42+D43</f>
        <v>636680</v>
      </c>
      <c r="E11" s="21">
        <f>E12+E14+E18+E19+E30+E31+E32+E33+E34+E35+E36+E37+E38+E39+E41+E42+E43</f>
        <v>533761</v>
      </c>
      <c r="F11" s="21">
        <f>F12+F14+F18+F19+F30+F31+F32+F33+F34+F35+F36+F37+F38+F39+F41+F42+F43</f>
        <v>532761</v>
      </c>
      <c r="G11" s="50">
        <f>E11/C11*100</f>
        <v>81.46597577820344</v>
      </c>
      <c r="H11" s="50">
        <f>F11/D11*100</f>
        <v>83.67798580134448</v>
      </c>
    </row>
    <row r="12" spans="1:8" ht="33" customHeight="1">
      <c r="A12" s="7">
        <v>1</v>
      </c>
      <c r="B12" s="6" t="s">
        <v>53</v>
      </c>
      <c r="C12" s="19">
        <f>C13</f>
        <v>0</v>
      </c>
      <c r="D12" s="19">
        <f>D13</f>
        <v>0</v>
      </c>
      <c r="E12" s="19">
        <f>E13</f>
        <v>0</v>
      </c>
      <c r="F12" s="19">
        <f>F13</f>
        <v>0</v>
      </c>
      <c r="G12" s="19">
        <f>G13</f>
        <v>0</v>
      </c>
      <c r="H12" s="19"/>
    </row>
    <row r="13" spans="1:8" ht="20.25" customHeight="1" hidden="1">
      <c r="A13" s="7" t="s">
        <v>10</v>
      </c>
      <c r="B13" s="46" t="s">
        <v>195</v>
      </c>
      <c r="C13" s="19"/>
      <c r="D13" s="19"/>
      <c r="E13" s="19"/>
      <c r="F13" s="19"/>
      <c r="G13" s="19"/>
      <c r="H13" s="19"/>
    </row>
    <row r="14" spans="1:8" ht="33.75" customHeight="1">
      <c r="A14" s="7">
        <v>2</v>
      </c>
      <c r="B14" s="6" t="s">
        <v>54</v>
      </c>
      <c r="C14" s="19">
        <f>SUM(C15:C17)</f>
        <v>0</v>
      </c>
      <c r="D14" s="19">
        <f>SUM(D15:D17)</f>
        <v>0</v>
      </c>
      <c r="E14" s="19">
        <f>SUM(E15:E17)</f>
        <v>0</v>
      </c>
      <c r="F14" s="19">
        <f>SUM(F15:F17)</f>
        <v>0</v>
      </c>
      <c r="G14" s="19">
        <f>SUM(G15:G17)</f>
        <v>0</v>
      </c>
      <c r="H14" s="19">
        <f>SUM(H15:H17)</f>
        <v>0</v>
      </c>
    </row>
    <row r="15" spans="1:8" ht="21" customHeight="1" hidden="1">
      <c r="A15" s="7" t="s">
        <v>10</v>
      </c>
      <c r="B15" s="46" t="s">
        <v>195</v>
      </c>
      <c r="C15" s="16"/>
      <c r="D15" s="16"/>
      <c r="E15" s="16"/>
      <c r="F15" s="16"/>
      <c r="G15" s="16"/>
      <c r="H15" s="16"/>
    </row>
    <row r="16" spans="1:8" ht="21" customHeight="1" hidden="1">
      <c r="A16" s="7" t="s">
        <v>10</v>
      </c>
      <c r="B16" s="46" t="s">
        <v>196</v>
      </c>
      <c r="C16" s="16"/>
      <c r="D16" s="16"/>
      <c r="E16" s="16"/>
      <c r="F16" s="16"/>
      <c r="G16" s="16"/>
      <c r="H16" s="16"/>
    </row>
    <row r="17" spans="1:8" ht="21" customHeight="1" hidden="1">
      <c r="A17" s="7" t="s">
        <v>10</v>
      </c>
      <c r="B17" s="46" t="s">
        <v>192</v>
      </c>
      <c r="C17" s="16"/>
      <c r="D17" s="16"/>
      <c r="E17" s="16"/>
      <c r="F17" s="16"/>
      <c r="G17" s="16"/>
      <c r="H17" s="16"/>
    </row>
    <row r="18" spans="1:8" ht="35.25" customHeight="1">
      <c r="A18" s="7">
        <v>3</v>
      </c>
      <c r="B18" s="6" t="s">
        <v>55</v>
      </c>
      <c r="C18" s="16"/>
      <c r="D18" s="16"/>
      <c r="E18" s="16"/>
      <c r="F18" s="16"/>
      <c r="G18" s="16"/>
      <c r="H18" s="16"/>
    </row>
    <row r="19" spans="1:8" ht="36" customHeight="1">
      <c r="A19" s="7">
        <v>4</v>
      </c>
      <c r="B19" s="6" t="s">
        <v>56</v>
      </c>
      <c r="C19" s="42">
        <f>C20+C26</f>
        <v>155210</v>
      </c>
      <c r="D19" s="42">
        <f>D20+D26</f>
        <v>153437</v>
      </c>
      <c r="E19" s="42">
        <f>E20+E26</f>
        <v>155960</v>
      </c>
      <c r="F19" s="42">
        <f>F20+F26</f>
        <v>154960</v>
      </c>
      <c r="G19" s="51">
        <f>E19/C19*100</f>
        <v>100.48321628761035</v>
      </c>
      <c r="H19" s="51">
        <f>F19/D19*100</f>
        <v>100.9925897925533</v>
      </c>
    </row>
    <row r="20" spans="1:8" s="45" customFormat="1" ht="21.75" customHeight="1">
      <c r="A20" s="47" t="s">
        <v>197</v>
      </c>
      <c r="B20" s="48" t="s">
        <v>193</v>
      </c>
      <c r="C20" s="49">
        <f>SUM(C21:C25)</f>
        <v>113900</v>
      </c>
      <c r="D20" s="49">
        <f>SUM(D21:D25)</f>
        <v>112737</v>
      </c>
      <c r="E20" s="49">
        <f>SUM(E21:E25)</f>
        <v>123500</v>
      </c>
      <c r="F20" s="49">
        <f>SUM(F21:F25)</f>
        <v>122500</v>
      </c>
      <c r="G20" s="51">
        <f aca="true" t="shared" si="0" ref="G20:G43">E20/C20*100</f>
        <v>108.42844600526777</v>
      </c>
      <c r="H20" s="51">
        <f aca="true" t="shared" si="1" ref="H20:H43">F20/D20*100</f>
        <v>108.65997853411035</v>
      </c>
    </row>
    <row r="21" spans="1:8" ht="21.75" customHeight="1">
      <c r="A21" s="7" t="s">
        <v>10</v>
      </c>
      <c r="B21" s="46" t="s">
        <v>198</v>
      </c>
      <c r="C21" s="20">
        <v>106100</v>
      </c>
      <c r="D21" s="20">
        <v>105937</v>
      </c>
      <c r="E21" s="20">
        <v>115500</v>
      </c>
      <c r="F21" s="42">
        <v>115500</v>
      </c>
      <c r="G21" s="51">
        <f t="shared" si="0"/>
        <v>108.85956644674835</v>
      </c>
      <c r="H21" s="51">
        <f t="shared" si="1"/>
        <v>109.02706325457584</v>
      </c>
    </row>
    <row r="22" spans="1:8" ht="21.75" customHeight="1">
      <c r="A22" s="7" t="s">
        <v>10</v>
      </c>
      <c r="B22" s="46" t="s">
        <v>199</v>
      </c>
      <c r="C22" s="20">
        <v>1000</v>
      </c>
      <c r="D22" s="20"/>
      <c r="E22" s="20">
        <v>1000</v>
      </c>
      <c r="F22" s="16"/>
      <c r="G22" s="51">
        <f t="shared" si="0"/>
        <v>100</v>
      </c>
      <c r="H22" s="51"/>
    </row>
    <row r="23" spans="1:8" ht="21.75" customHeight="1">
      <c r="A23" s="7" t="s">
        <v>10</v>
      </c>
      <c r="B23" s="46" t="s">
        <v>200</v>
      </c>
      <c r="C23" s="20">
        <v>6800</v>
      </c>
      <c r="D23" s="20">
        <v>6800</v>
      </c>
      <c r="E23" s="20">
        <v>7000</v>
      </c>
      <c r="F23" s="42">
        <v>7000</v>
      </c>
      <c r="G23" s="51">
        <f t="shared" si="0"/>
        <v>102.94117647058823</v>
      </c>
      <c r="H23" s="51">
        <f t="shared" si="1"/>
        <v>102.94117647058823</v>
      </c>
    </row>
    <row r="24" spans="1:8" ht="21.75" customHeight="1" hidden="1">
      <c r="A24" s="7" t="s">
        <v>10</v>
      </c>
      <c r="B24" s="46" t="s">
        <v>201</v>
      </c>
      <c r="C24" s="16"/>
      <c r="D24" s="16"/>
      <c r="E24" s="16"/>
      <c r="F24" s="16"/>
      <c r="G24" s="51" t="e">
        <f t="shared" si="0"/>
        <v>#DIV/0!</v>
      </c>
      <c r="H24" s="51" t="e">
        <f t="shared" si="1"/>
        <v>#DIV/0!</v>
      </c>
    </row>
    <row r="25" spans="1:8" ht="21.75" customHeight="1" hidden="1">
      <c r="A25" s="7" t="s">
        <v>10</v>
      </c>
      <c r="B25" s="46" t="s">
        <v>202</v>
      </c>
      <c r="C25" s="16"/>
      <c r="D25" s="16"/>
      <c r="E25" s="16"/>
      <c r="F25" s="16"/>
      <c r="G25" s="51" t="e">
        <f t="shared" si="0"/>
        <v>#DIV/0!</v>
      </c>
      <c r="H25" s="51" t="e">
        <f t="shared" si="1"/>
        <v>#DIV/0!</v>
      </c>
    </row>
    <row r="26" spans="1:8" s="45" customFormat="1" ht="22.5" customHeight="1">
      <c r="A26" s="47" t="s">
        <v>197</v>
      </c>
      <c r="B26" s="48" t="s">
        <v>194</v>
      </c>
      <c r="C26" s="49">
        <f>SUM(C27:C29)</f>
        <v>41310</v>
      </c>
      <c r="D26" s="49">
        <f>SUM(D27:D29)</f>
        <v>40700</v>
      </c>
      <c r="E26" s="49">
        <f>SUM(E27:E29)</f>
        <v>32460</v>
      </c>
      <c r="F26" s="49">
        <f>SUM(F27:F29)</f>
        <v>32460</v>
      </c>
      <c r="G26" s="51">
        <f t="shared" si="0"/>
        <v>78.5766158315178</v>
      </c>
      <c r="H26" s="51">
        <f t="shared" si="1"/>
        <v>79.75429975429975</v>
      </c>
    </row>
    <row r="27" spans="1:8" ht="25.5" customHeight="1">
      <c r="A27" s="7" t="s">
        <v>10</v>
      </c>
      <c r="B27" s="46" t="s">
        <v>198</v>
      </c>
      <c r="C27" s="20">
        <v>41310</v>
      </c>
      <c r="D27" s="20">
        <v>40700</v>
      </c>
      <c r="E27" s="20">
        <v>32460</v>
      </c>
      <c r="F27" s="42">
        <v>32460</v>
      </c>
      <c r="G27" s="51">
        <f t="shared" si="0"/>
        <v>78.5766158315178</v>
      </c>
      <c r="H27" s="51">
        <f t="shared" si="1"/>
        <v>79.75429975429975</v>
      </c>
    </row>
    <row r="28" spans="1:8" ht="21" customHeight="1" hidden="1">
      <c r="A28" s="7" t="s">
        <v>10</v>
      </c>
      <c r="B28" s="46" t="s">
        <v>199</v>
      </c>
      <c r="C28" s="20"/>
      <c r="D28" s="16"/>
      <c r="E28" s="16"/>
      <c r="F28" s="16"/>
      <c r="G28" s="51" t="e">
        <f t="shared" si="0"/>
        <v>#DIV/0!</v>
      </c>
      <c r="H28" s="51" t="e">
        <f t="shared" si="1"/>
        <v>#DIV/0!</v>
      </c>
    </row>
    <row r="29" spans="1:8" ht="21" customHeight="1" hidden="1">
      <c r="A29" s="7" t="s">
        <v>10</v>
      </c>
      <c r="B29" s="46" t="s">
        <v>200</v>
      </c>
      <c r="C29" s="20"/>
      <c r="D29" s="20"/>
      <c r="E29" s="20"/>
      <c r="F29" s="20"/>
      <c r="G29" s="51" t="e">
        <f t="shared" si="0"/>
        <v>#DIV/0!</v>
      </c>
      <c r="H29" s="51"/>
    </row>
    <row r="30" spans="1:8" ht="21.75" customHeight="1">
      <c r="A30" s="7">
        <v>5</v>
      </c>
      <c r="B30" s="6" t="s">
        <v>57</v>
      </c>
      <c r="C30" s="20">
        <v>23500</v>
      </c>
      <c r="D30" s="20">
        <v>23050</v>
      </c>
      <c r="E30" s="20">
        <v>24000</v>
      </c>
      <c r="F30" s="42">
        <v>24000</v>
      </c>
      <c r="G30" s="51">
        <f t="shared" si="0"/>
        <v>102.12765957446808</v>
      </c>
      <c r="H30" s="51">
        <f t="shared" si="1"/>
        <v>104.12147505422993</v>
      </c>
    </row>
    <row r="31" spans="1:8" ht="21.75" customHeight="1">
      <c r="A31" s="7">
        <v>6</v>
      </c>
      <c r="B31" s="6" t="s">
        <v>58</v>
      </c>
      <c r="C31" s="20"/>
      <c r="D31" s="20"/>
      <c r="E31" s="20"/>
      <c r="F31" s="16"/>
      <c r="G31" s="51"/>
      <c r="H31" s="51"/>
    </row>
    <row r="32" spans="1:8" ht="21.75" customHeight="1">
      <c r="A32" s="7">
        <v>7</v>
      </c>
      <c r="B32" s="6" t="s">
        <v>59</v>
      </c>
      <c r="C32" s="20">
        <v>23100</v>
      </c>
      <c r="D32" s="20">
        <v>23100</v>
      </c>
      <c r="E32" s="20">
        <v>26000</v>
      </c>
      <c r="F32" s="42">
        <v>26000</v>
      </c>
      <c r="G32" s="51">
        <f t="shared" si="0"/>
        <v>112.55411255411256</v>
      </c>
      <c r="H32" s="51">
        <f t="shared" si="1"/>
        <v>112.55411255411256</v>
      </c>
    </row>
    <row r="33" spans="1:8" ht="21.75" customHeight="1">
      <c r="A33" s="7">
        <v>8</v>
      </c>
      <c r="B33" s="6" t="s">
        <v>60</v>
      </c>
      <c r="C33" s="20">
        <v>10016</v>
      </c>
      <c r="D33" s="20">
        <v>6524</v>
      </c>
      <c r="E33" s="20">
        <v>8200</v>
      </c>
      <c r="F33" s="42">
        <v>8200</v>
      </c>
      <c r="G33" s="51">
        <f t="shared" si="0"/>
        <v>81.86900958466452</v>
      </c>
      <c r="H33" s="51">
        <f t="shared" si="1"/>
        <v>125.68976088289392</v>
      </c>
    </row>
    <row r="34" spans="1:8" ht="22.5" customHeight="1">
      <c r="A34" s="7">
        <v>9</v>
      </c>
      <c r="B34" s="6" t="s">
        <v>61</v>
      </c>
      <c r="C34" s="20">
        <v>30</v>
      </c>
      <c r="D34" s="20">
        <v>30</v>
      </c>
      <c r="E34" s="20"/>
      <c r="F34" s="16"/>
      <c r="G34" s="51">
        <f t="shared" si="0"/>
        <v>0</v>
      </c>
      <c r="H34" s="51">
        <f t="shared" si="1"/>
        <v>0</v>
      </c>
    </row>
    <row r="35" spans="1:8" ht="31.5" customHeight="1">
      <c r="A35" s="7">
        <v>10</v>
      </c>
      <c r="B35" s="6" t="s">
        <v>62</v>
      </c>
      <c r="C35" s="20">
        <v>900</v>
      </c>
      <c r="D35" s="20">
        <v>900</v>
      </c>
      <c r="E35" s="20">
        <v>1000</v>
      </c>
      <c r="F35" s="20">
        <v>1000</v>
      </c>
      <c r="G35" s="51">
        <f t="shared" si="0"/>
        <v>111.11111111111111</v>
      </c>
      <c r="H35" s="51">
        <f t="shared" si="1"/>
        <v>111.11111111111111</v>
      </c>
    </row>
    <row r="36" spans="1:8" ht="31.5" customHeight="1">
      <c r="A36" s="7">
        <v>11</v>
      </c>
      <c r="B36" s="6" t="s">
        <v>63</v>
      </c>
      <c r="C36" s="20">
        <v>7000</v>
      </c>
      <c r="D36" s="20">
        <v>5800</v>
      </c>
      <c r="E36" s="20">
        <v>3000</v>
      </c>
      <c r="F36" s="20">
        <v>3000</v>
      </c>
      <c r="G36" s="51">
        <f t="shared" si="0"/>
        <v>42.857142857142854</v>
      </c>
      <c r="H36" s="51">
        <f t="shared" si="1"/>
        <v>51.724137931034484</v>
      </c>
    </row>
    <row r="37" spans="1:8" ht="24.75" customHeight="1">
      <c r="A37" s="7">
        <v>12</v>
      </c>
      <c r="B37" s="6" t="s">
        <v>64</v>
      </c>
      <c r="C37" s="20">
        <v>403239</v>
      </c>
      <c r="D37" s="20">
        <v>403239</v>
      </c>
      <c r="E37" s="20">
        <v>300000</v>
      </c>
      <c r="F37" s="20">
        <v>300000</v>
      </c>
      <c r="G37" s="51">
        <f t="shared" si="0"/>
        <v>74.39756571164992</v>
      </c>
      <c r="H37" s="51">
        <f t="shared" si="1"/>
        <v>74.39756571164992</v>
      </c>
    </row>
    <row r="38" spans="1:8" ht="36" customHeight="1" hidden="1">
      <c r="A38" s="7">
        <v>13</v>
      </c>
      <c r="B38" s="6" t="s">
        <v>65</v>
      </c>
      <c r="C38" s="44"/>
      <c r="D38" s="44"/>
      <c r="E38" s="44"/>
      <c r="F38" s="44"/>
      <c r="G38" s="51" t="e">
        <f t="shared" si="0"/>
        <v>#DIV/0!</v>
      </c>
      <c r="H38" s="51" t="e">
        <f t="shared" si="1"/>
        <v>#DIV/0!</v>
      </c>
    </row>
    <row r="39" spans="1:8" ht="33.75" customHeight="1" hidden="1">
      <c r="A39" s="7">
        <v>14</v>
      </c>
      <c r="B39" s="6" t="s">
        <v>66</v>
      </c>
      <c r="C39" s="44"/>
      <c r="D39" s="44"/>
      <c r="E39" s="44"/>
      <c r="F39" s="44"/>
      <c r="G39" s="51" t="e">
        <f t="shared" si="0"/>
        <v>#DIV/0!</v>
      </c>
      <c r="H39" s="51" t="e">
        <f t="shared" si="1"/>
        <v>#DIV/0!</v>
      </c>
    </row>
    <row r="40" spans="1:8" ht="25.5" customHeight="1" hidden="1">
      <c r="A40" s="7"/>
      <c r="B40" s="6" t="s">
        <v>67</v>
      </c>
      <c r="C40" s="44"/>
      <c r="D40" s="44"/>
      <c r="E40" s="44"/>
      <c r="F40" s="44"/>
      <c r="G40" s="51" t="e">
        <f t="shared" si="0"/>
        <v>#DIV/0!</v>
      </c>
      <c r="H40" s="51" t="e">
        <f t="shared" si="1"/>
        <v>#DIV/0!</v>
      </c>
    </row>
    <row r="41" spans="1:8" ht="35.25" customHeight="1">
      <c r="A41" s="7">
        <v>15</v>
      </c>
      <c r="B41" s="6" t="s">
        <v>68</v>
      </c>
      <c r="C41" s="20">
        <v>6000</v>
      </c>
      <c r="D41" s="44"/>
      <c r="E41" s="44"/>
      <c r="F41" s="44"/>
      <c r="G41" s="51">
        <f t="shared" si="0"/>
        <v>0</v>
      </c>
      <c r="H41" s="51"/>
    </row>
    <row r="42" spans="1:8" ht="22.5" customHeight="1">
      <c r="A42" s="7">
        <v>16</v>
      </c>
      <c r="B42" s="6" t="s">
        <v>69</v>
      </c>
      <c r="C42" s="20">
        <v>19100</v>
      </c>
      <c r="D42" s="20">
        <v>13500</v>
      </c>
      <c r="E42" s="20">
        <v>10000</v>
      </c>
      <c r="F42" s="44">
        <v>10000</v>
      </c>
      <c r="G42" s="51">
        <f t="shared" si="0"/>
        <v>52.35602094240838</v>
      </c>
      <c r="H42" s="51">
        <f t="shared" si="1"/>
        <v>74.07407407407408</v>
      </c>
    </row>
    <row r="43" spans="1:8" ht="33.75" customHeight="1">
      <c r="A43" s="7">
        <v>17</v>
      </c>
      <c r="B43" s="6" t="s">
        <v>70</v>
      </c>
      <c r="C43" s="20">
        <v>7100</v>
      </c>
      <c r="D43" s="20">
        <v>7100</v>
      </c>
      <c r="E43" s="20">
        <v>5601</v>
      </c>
      <c r="F43" s="20">
        <v>5601</v>
      </c>
      <c r="G43" s="51">
        <f t="shared" si="0"/>
        <v>78.88732394366197</v>
      </c>
      <c r="H43" s="51">
        <f t="shared" si="1"/>
        <v>78.88732394366197</v>
      </c>
    </row>
    <row r="44" spans="1:8" ht="20.25" customHeight="1">
      <c r="A44" s="75" t="s">
        <v>11</v>
      </c>
      <c r="B44" s="15" t="s">
        <v>71</v>
      </c>
      <c r="C44" s="67"/>
      <c r="D44" s="67"/>
      <c r="E44" s="67"/>
      <c r="F44" s="67"/>
      <c r="G44" s="76"/>
      <c r="H44" s="76"/>
    </row>
  </sheetData>
  <sheetProtection/>
  <mergeCells count="10">
    <mergeCell ref="G7:H7"/>
    <mergeCell ref="A1:B1"/>
    <mergeCell ref="G1:H1"/>
    <mergeCell ref="A3:H3"/>
    <mergeCell ref="A4:H4"/>
    <mergeCell ref="F6:H6"/>
    <mergeCell ref="A7:A8"/>
    <mergeCell ref="B7:B8"/>
    <mergeCell ref="C7:D7"/>
    <mergeCell ref="E7:F7"/>
  </mergeCells>
  <printOptions/>
  <pageMargins left="0.33" right="0.28" top="0.22" bottom="0.28" header="0.2" footer="0.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68"/>
  <sheetViews>
    <sheetView zoomScalePageLayoutView="0" workbookViewId="0" topLeftCell="A1">
      <pane ySplit="10" topLeftCell="A13" activePane="bottomLeft" state="frozen"/>
      <selection pane="topLeft" activeCell="A1" sqref="A1"/>
      <selection pane="bottomLeft" activeCell="A1" sqref="A1:B1"/>
    </sheetView>
  </sheetViews>
  <sheetFormatPr defaultColWidth="9.00390625" defaultRowHeight="15"/>
  <cols>
    <col min="1" max="1" width="5.00390625" style="77" customWidth="1"/>
    <col min="2" max="2" width="40.421875" style="77" customWidth="1"/>
    <col min="3" max="4" width="13.421875" style="77" customWidth="1"/>
    <col min="5" max="5" width="13.00390625" style="77" customWidth="1"/>
    <col min="6" max="7" width="9.00390625" style="77" customWidth="1"/>
    <col min="8" max="8" width="10.7109375" style="77" bestFit="1" customWidth="1"/>
    <col min="9" max="9" width="9.140625" style="77" bestFit="1" customWidth="1"/>
    <col min="10" max="11" width="9.00390625" style="77" customWidth="1"/>
    <col min="12" max="12" width="9.7109375" style="77" bestFit="1" customWidth="1"/>
    <col min="13" max="16384" width="9.00390625" style="77" customWidth="1"/>
  </cols>
  <sheetData>
    <row r="1" spans="1:5" ht="24" customHeight="1">
      <c r="A1" s="235" t="s">
        <v>316</v>
      </c>
      <c r="B1" s="235"/>
      <c r="D1" s="236" t="s">
        <v>72</v>
      </c>
      <c r="E1" s="236"/>
    </row>
    <row r="2" ht="15">
      <c r="A2" s="79"/>
    </row>
    <row r="3" spans="1:5" ht="37.5" customHeight="1">
      <c r="A3" s="237" t="s">
        <v>320</v>
      </c>
      <c r="B3" s="237"/>
      <c r="C3" s="237"/>
      <c r="D3" s="237"/>
      <c r="E3" s="237"/>
    </row>
    <row r="4" spans="1:5" ht="15">
      <c r="A4" s="238" t="s">
        <v>1</v>
      </c>
      <c r="B4" s="238"/>
      <c r="C4" s="238"/>
      <c r="D4" s="238"/>
      <c r="E4" s="238"/>
    </row>
    <row r="5" spans="1:5" ht="15">
      <c r="A5" s="124"/>
      <c r="B5" s="124"/>
      <c r="C5" s="124"/>
      <c r="D5" s="124"/>
      <c r="E5" s="124"/>
    </row>
    <row r="6" spans="4:5" ht="15">
      <c r="D6" s="239" t="s">
        <v>31</v>
      </c>
      <c r="E6" s="239"/>
    </row>
    <row r="7" spans="1:5" ht="21" customHeight="1">
      <c r="A7" s="240" t="s">
        <v>2</v>
      </c>
      <c r="B7" s="240" t="s">
        <v>73</v>
      </c>
      <c r="C7" s="240" t="s">
        <v>74</v>
      </c>
      <c r="D7" s="240" t="s">
        <v>75</v>
      </c>
      <c r="E7" s="240"/>
    </row>
    <row r="8" spans="1:5" ht="22.5" customHeight="1">
      <c r="A8" s="240"/>
      <c r="B8" s="240"/>
      <c r="C8" s="240"/>
      <c r="D8" s="240" t="s">
        <v>76</v>
      </c>
      <c r="E8" s="240" t="s">
        <v>203</v>
      </c>
    </row>
    <row r="9" spans="1:5" ht="22.5" customHeight="1">
      <c r="A9" s="240"/>
      <c r="B9" s="240"/>
      <c r="C9" s="240"/>
      <c r="D9" s="240"/>
      <c r="E9" s="240" t="s">
        <v>77</v>
      </c>
    </row>
    <row r="10" spans="1:5" ht="21.75" customHeight="1">
      <c r="A10" s="125" t="s">
        <v>6</v>
      </c>
      <c r="B10" s="125" t="s">
        <v>7</v>
      </c>
      <c r="C10" s="125" t="s">
        <v>78</v>
      </c>
      <c r="D10" s="125">
        <v>2</v>
      </c>
      <c r="E10" s="125">
        <v>3</v>
      </c>
    </row>
    <row r="11" spans="1:5" ht="20.25" customHeight="1">
      <c r="A11" s="125"/>
      <c r="B11" s="125" t="s">
        <v>19</v>
      </c>
      <c r="C11" s="104">
        <f>C12+C43+C68</f>
        <v>887293</v>
      </c>
      <c r="D11" s="104">
        <f>D12+D43+D68</f>
        <v>764603</v>
      </c>
      <c r="E11" s="104">
        <f>E12+E43+E68</f>
        <v>122690</v>
      </c>
    </row>
    <row r="12" spans="1:5" ht="26.25" customHeight="1">
      <c r="A12" s="126" t="s">
        <v>6</v>
      </c>
      <c r="B12" s="127" t="s">
        <v>79</v>
      </c>
      <c r="C12" s="128">
        <f>C13+C37+C41+C42</f>
        <v>753651</v>
      </c>
      <c r="D12" s="128">
        <f>D13+D37+D41+D42</f>
        <v>643931</v>
      </c>
      <c r="E12" s="128">
        <f>E13+E37+E41+E42</f>
        <v>109720</v>
      </c>
    </row>
    <row r="13" spans="1:5" ht="26.25" customHeight="1">
      <c r="A13" s="129" t="s">
        <v>8</v>
      </c>
      <c r="B13" s="130" t="s">
        <v>21</v>
      </c>
      <c r="C13" s="131">
        <f>SUM(D13:E13)</f>
        <v>313440</v>
      </c>
      <c r="D13" s="131">
        <f>D14+D31</f>
        <v>283440</v>
      </c>
      <c r="E13" s="131">
        <f>E14+E31</f>
        <v>30000</v>
      </c>
    </row>
    <row r="14" spans="1:5" ht="26.25" customHeight="1">
      <c r="A14" s="110">
        <v>1</v>
      </c>
      <c r="B14" s="111" t="s">
        <v>80</v>
      </c>
      <c r="C14" s="99">
        <f>SUM(D14:E14)</f>
        <v>313440</v>
      </c>
      <c r="D14" s="132">
        <v>283440</v>
      </c>
      <c r="E14" s="132">
        <f>E26</f>
        <v>30000</v>
      </c>
    </row>
    <row r="15" spans="1:5" ht="26.25" customHeight="1">
      <c r="A15" s="110"/>
      <c r="B15" s="111" t="s">
        <v>81</v>
      </c>
      <c r="C15" s="133"/>
      <c r="D15" s="132"/>
      <c r="E15" s="134"/>
    </row>
    <row r="16" spans="1:5" s="135" customFormat="1" ht="26.25" customHeight="1">
      <c r="A16" s="112" t="s">
        <v>10</v>
      </c>
      <c r="B16" s="113" t="s">
        <v>82</v>
      </c>
      <c r="C16" s="114">
        <f>SUM(D16:E16)</f>
        <v>32844</v>
      </c>
      <c r="D16" s="114">
        <f>3194+9000+4000+16650</f>
        <v>32844</v>
      </c>
      <c r="E16" s="114"/>
    </row>
    <row r="17" spans="1:5" s="135" customFormat="1" ht="26.25" customHeight="1">
      <c r="A17" s="112" t="s">
        <v>10</v>
      </c>
      <c r="B17" s="113" t="s">
        <v>210</v>
      </c>
      <c r="C17" s="114">
        <f aca="true" t="shared" si="0" ref="C17:C25">SUM(D17:E17)</f>
        <v>159293</v>
      </c>
      <c r="D17" s="114">
        <f>7684+23251+98108+30250</f>
        <v>159293</v>
      </c>
      <c r="E17" s="114"/>
    </row>
    <row r="18" spans="1:5" s="135" customFormat="1" ht="26.25" customHeight="1">
      <c r="A18" s="112" t="s">
        <v>10</v>
      </c>
      <c r="B18" s="113" t="s">
        <v>211</v>
      </c>
      <c r="C18" s="114">
        <f t="shared" si="0"/>
        <v>905</v>
      </c>
      <c r="D18" s="114">
        <f>905</f>
        <v>905</v>
      </c>
      <c r="E18" s="114"/>
    </row>
    <row r="19" spans="1:5" s="135" customFormat="1" ht="26.25" customHeight="1">
      <c r="A19" s="112" t="s">
        <v>10</v>
      </c>
      <c r="B19" s="113" t="s">
        <v>212</v>
      </c>
      <c r="C19" s="114">
        <f t="shared" si="0"/>
        <v>275</v>
      </c>
      <c r="D19" s="114">
        <f>275</f>
        <v>275</v>
      </c>
      <c r="E19" s="114"/>
    </row>
    <row r="20" spans="1:5" s="135" customFormat="1" ht="33" customHeight="1">
      <c r="A20" s="112" t="s">
        <v>10</v>
      </c>
      <c r="B20" s="113" t="s">
        <v>213</v>
      </c>
      <c r="C20" s="114">
        <f t="shared" si="0"/>
        <v>3513</v>
      </c>
      <c r="D20" s="114">
        <f>523+2990</f>
        <v>3513</v>
      </c>
      <c r="E20" s="114"/>
    </row>
    <row r="21" spans="1:5" s="135" customFormat="1" ht="26.25" customHeight="1">
      <c r="A21" s="112" t="s">
        <v>10</v>
      </c>
      <c r="B21" s="113" t="s">
        <v>338</v>
      </c>
      <c r="C21" s="114">
        <f t="shared" si="0"/>
        <v>0</v>
      </c>
      <c r="D21" s="114"/>
      <c r="E21" s="114"/>
    </row>
    <row r="22" spans="1:5" s="135" customFormat="1" ht="26.25" customHeight="1">
      <c r="A22" s="112" t="s">
        <v>10</v>
      </c>
      <c r="B22" s="113" t="s">
        <v>214</v>
      </c>
      <c r="C22" s="114">
        <f t="shared" si="0"/>
        <v>1771</v>
      </c>
      <c r="D22" s="114">
        <f>1571+200</f>
        <v>1771</v>
      </c>
      <c r="E22" s="114"/>
    </row>
    <row r="23" spans="1:5" s="135" customFormat="1" ht="26.25" customHeight="1">
      <c r="A23" s="112" t="s">
        <v>10</v>
      </c>
      <c r="B23" s="113" t="s">
        <v>215</v>
      </c>
      <c r="C23" s="114">
        <f t="shared" si="0"/>
        <v>1306</v>
      </c>
      <c r="D23" s="114">
        <f>306+1000</f>
        <v>1306</v>
      </c>
      <c r="E23" s="114"/>
    </row>
    <row r="24" spans="1:5" s="135" customFormat="1" ht="26.25" customHeight="1">
      <c r="A24" s="112" t="s">
        <v>10</v>
      </c>
      <c r="B24" s="113" t="s">
        <v>86</v>
      </c>
      <c r="C24" s="114">
        <f t="shared" si="0"/>
        <v>112538</v>
      </c>
      <c r="D24" s="114">
        <f>39030+14000+30075-567</f>
        <v>82538</v>
      </c>
      <c r="E24" s="114">
        <v>30000</v>
      </c>
    </row>
    <row r="25" spans="1:5" s="135" customFormat="1" ht="26.25" customHeight="1">
      <c r="A25" s="112" t="s">
        <v>10</v>
      </c>
      <c r="B25" s="113" t="s">
        <v>216</v>
      </c>
      <c r="C25" s="114">
        <f t="shared" si="0"/>
        <v>567</v>
      </c>
      <c r="D25" s="114">
        <v>567</v>
      </c>
      <c r="E25" s="114"/>
    </row>
    <row r="26" spans="1:5" ht="26.25" customHeight="1">
      <c r="A26" s="110"/>
      <c r="B26" s="111" t="s">
        <v>84</v>
      </c>
      <c r="C26" s="99">
        <f>SUM(D26:E26)</f>
        <v>313440</v>
      </c>
      <c r="D26" s="99">
        <f>SUM(D27:D30)</f>
        <v>283440</v>
      </c>
      <c r="E26" s="99">
        <f>SUM(E27:E30)</f>
        <v>30000</v>
      </c>
    </row>
    <row r="27" spans="1:5" ht="26.25" customHeight="1">
      <c r="A27" s="110" t="s">
        <v>10</v>
      </c>
      <c r="B27" s="113" t="s">
        <v>85</v>
      </c>
      <c r="C27" s="99">
        <f>SUM(D27:E27)</f>
        <v>300000</v>
      </c>
      <c r="D27" s="99">
        <v>270000</v>
      </c>
      <c r="E27" s="99">
        <v>30000</v>
      </c>
    </row>
    <row r="28" spans="1:9" ht="34.5" customHeight="1">
      <c r="A28" s="110" t="s">
        <v>10</v>
      </c>
      <c r="B28" s="113" t="s">
        <v>207</v>
      </c>
      <c r="C28" s="99">
        <f>SUM(D28:E28)</f>
        <v>13440</v>
      </c>
      <c r="D28" s="99">
        <v>13440</v>
      </c>
      <c r="E28" s="134"/>
      <c r="I28" s="77">
        <v>13440</v>
      </c>
    </row>
    <row r="29" spans="1:9" ht="32.25" customHeight="1" hidden="1">
      <c r="A29" s="110" t="s">
        <v>10</v>
      </c>
      <c r="B29" s="113" t="s">
        <v>208</v>
      </c>
      <c r="C29" s="99">
        <f>SUM(D29:E29)</f>
        <v>0</v>
      </c>
      <c r="D29" s="99"/>
      <c r="E29" s="134"/>
      <c r="I29" s="136">
        <f>I28-D28</f>
        <v>0</v>
      </c>
    </row>
    <row r="30" spans="1:5" ht="26.25" customHeight="1" hidden="1">
      <c r="A30" s="110" t="s">
        <v>10</v>
      </c>
      <c r="B30" s="113" t="s">
        <v>209</v>
      </c>
      <c r="C30" s="99">
        <f>SUM(D30:E30)</f>
        <v>0</v>
      </c>
      <c r="D30" s="99"/>
      <c r="E30" s="134"/>
    </row>
    <row r="31" spans="1:5" ht="26.25" customHeight="1" hidden="1">
      <c r="A31" s="110">
        <v>2</v>
      </c>
      <c r="B31" s="111" t="s">
        <v>86</v>
      </c>
      <c r="C31" s="99">
        <f>SUM(D31:E31)</f>
        <v>0</v>
      </c>
      <c r="D31" s="99"/>
      <c r="E31" s="99"/>
    </row>
    <row r="32" spans="1:5" ht="26.25" customHeight="1" hidden="1">
      <c r="A32" s="110"/>
      <c r="B32" s="111" t="s">
        <v>84</v>
      </c>
      <c r="C32" s="99"/>
      <c r="D32" s="99"/>
      <c r="E32" s="99"/>
    </row>
    <row r="33" spans="1:5" s="135" customFormat="1" ht="26.25" customHeight="1" hidden="1">
      <c r="A33" s="112" t="s">
        <v>10</v>
      </c>
      <c r="B33" s="113" t="s">
        <v>85</v>
      </c>
      <c r="C33" s="114">
        <f>SUM(D33:E33)</f>
        <v>0</v>
      </c>
      <c r="D33" s="114"/>
      <c r="E33" s="114"/>
    </row>
    <row r="34" spans="1:5" s="135" customFormat="1" ht="26.25" customHeight="1" hidden="1">
      <c r="A34" s="112" t="s">
        <v>10</v>
      </c>
      <c r="B34" s="113" t="s">
        <v>207</v>
      </c>
      <c r="C34" s="114">
        <f>SUM(D34:E34)</f>
        <v>0</v>
      </c>
      <c r="D34" s="114"/>
      <c r="E34" s="114"/>
    </row>
    <row r="35" spans="1:5" s="135" customFormat="1" ht="36" customHeight="1" hidden="1">
      <c r="A35" s="112" t="s">
        <v>10</v>
      </c>
      <c r="B35" s="113" t="s">
        <v>208</v>
      </c>
      <c r="C35" s="114">
        <f>SUM(D35:E35)</f>
        <v>0</v>
      </c>
      <c r="D35" s="114"/>
      <c r="E35" s="114"/>
    </row>
    <row r="36" spans="1:5" s="135" customFormat="1" ht="26.25" customHeight="1" hidden="1">
      <c r="A36" s="112" t="s">
        <v>10</v>
      </c>
      <c r="B36" s="113" t="s">
        <v>209</v>
      </c>
      <c r="C36" s="114">
        <f>SUM(D36:E36)</f>
        <v>0</v>
      </c>
      <c r="D36" s="114"/>
      <c r="E36" s="114"/>
    </row>
    <row r="37" spans="1:8" ht="26.25" customHeight="1">
      <c r="A37" s="129" t="s">
        <v>11</v>
      </c>
      <c r="B37" s="130" t="s">
        <v>22</v>
      </c>
      <c r="C37" s="131">
        <f>SUM(D37:E37)</f>
        <v>424730</v>
      </c>
      <c r="D37" s="131">
        <f>467781-D43</f>
        <v>347109</v>
      </c>
      <c r="E37" s="131">
        <f>90591-E43</f>
        <v>77621</v>
      </c>
      <c r="H37" s="136">
        <f>D37+D41+D43</f>
        <v>481163</v>
      </c>
    </row>
    <row r="38" spans="1:5" ht="26.25" customHeight="1">
      <c r="A38" s="110"/>
      <c r="B38" s="111" t="s">
        <v>87</v>
      </c>
      <c r="C38" s="99">
        <f>SUM(D38:E38)</f>
        <v>0</v>
      </c>
      <c r="D38" s="99"/>
      <c r="E38" s="99"/>
    </row>
    <row r="39" spans="1:5" ht="26.25" customHeight="1">
      <c r="A39" s="110">
        <v>1</v>
      </c>
      <c r="B39" s="113" t="s">
        <v>82</v>
      </c>
      <c r="C39" s="99">
        <f>SUM(D39:E39)</f>
        <v>292391</v>
      </c>
      <c r="D39" s="99">
        <f>310782+478-D63-D64</f>
        <v>291082</v>
      </c>
      <c r="E39" s="99">
        <f>459+850</f>
        <v>1309</v>
      </c>
    </row>
    <row r="40" spans="1:5" ht="26.25" customHeight="1">
      <c r="A40" s="110">
        <v>2</v>
      </c>
      <c r="B40" s="113" t="s">
        <v>83</v>
      </c>
      <c r="C40" s="99">
        <f>SUM(D40:E40)</f>
        <v>280</v>
      </c>
      <c r="D40" s="99">
        <v>280</v>
      </c>
      <c r="E40" s="99"/>
    </row>
    <row r="41" spans="1:5" ht="26.25" customHeight="1">
      <c r="A41" s="129" t="s">
        <v>15</v>
      </c>
      <c r="B41" s="130" t="s">
        <v>88</v>
      </c>
      <c r="C41" s="131">
        <f>SUM(D41:E41)</f>
        <v>15481</v>
      </c>
      <c r="D41" s="131">
        <v>13382</v>
      </c>
      <c r="E41" s="131">
        <v>2099</v>
      </c>
    </row>
    <row r="42" spans="1:5" ht="26.25" customHeight="1">
      <c r="A42" s="129" t="s">
        <v>17</v>
      </c>
      <c r="B42" s="130" t="s">
        <v>24</v>
      </c>
      <c r="C42" s="99">
        <f>SUM(D42:E42)</f>
        <v>0</v>
      </c>
      <c r="D42" s="99"/>
      <c r="E42" s="99"/>
    </row>
    <row r="43" spans="1:5" ht="26.25" customHeight="1">
      <c r="A43" s="129" t="s">
        <v>7</v>
      </c>
      <c r="B43" s="130" t="s">
        <v>89</v>
      </c>
      <c r="C43" s="131">
        <f>C44+C46</f>
        <v>133642</v>
      </c>
      <c r="D43" s="131">
        <f>D44+D46</f>
        <v>120672</v>
      </c>
      <c r="E43" s="131">
        <f>E44+E46</f>
        <v>12970</v>
      </c>
    </row>
    <row r="44" spans="1:5" ht="26.25" customHeight="1">
      <c r="A44" s="129" t="s">
        <v>8</v>
      </c>
      <c r="B44" s="130" t="s">
        <v>26</v>
      </c>
      <c r="C44" s="99">
        <f>SUM(D44:E44)</f>
        <v>0</v>
      </c>
      <c r="D44" s="99"/>
      <c r="E44" s="99"/>
    </row>
    <row r="45" spans="1:5" ht="35.25" customHeight="1">
      <c r="A45" s="129"/>
      <c r="B45" s="111" t="s">
        <v>90</v>
      </c>
      <c r="C45" s="99">
        <f>SUM(D45:E45)</f>
        <v>0</v>
      </c>
      <c r="D45" s="99"/>
      <c r="E45" s="99"/>
    </row>
    <row r="46" spans="1:12" ht="26.25" customHeight="1">
      <c r="A46" s="129" t="s">
        <v>11</v>
      </c>
      <c r="B46" s="130" t="s">
        <v>27</v>
      </c>
      <c r="C46" s="131">
        <f>SUM(D46:E46)</f>
        <v>133642</v>
      </c>
      <c r="D46" s="131">
        <f>SUM(D47:D67)</f>
        <v>120672</v>
      </c>
      <c r="E46" s="131">
        <f>SUM(E47:E67)</f>
        <v>12970</v>
      </c>
      <c r="L46" s="77">
        <v>148280</v>
      </c>
    </row>
    <row r="47" spans="1:12" ht="33.75" customHeight="1">
      <c r="A47" s="110">
        <v>1</v>
      </c>
      <c r="B47" s="111" t="s">
        <v>218</v>
      </c>
      <c r="C47" s="99">
        <f>SUM(D47:E47)</f>
        <v>5230</v>
      </c>
      <c r="D47" s="131"/>
      <c r="E47" s="99">
        <v>5230</v>
      </c>
      <c r="L47" s="136">
        <f>C46-L46</f>
        <v>-14638</v>
      </c>
    </row>
    <row r="48" spans="1:5" ht="24" customHeight="1">
      <c r="A48" s="110">
        <v>2</v>
      </c>
      <c r="B48" s="111" t="s">
        <v>219</v>
      </c>
      <c r="C48" s="99">
        <f aca="true" t="shared" si="1" ref="C48:C67">SUM(D48:E48)</f>
        <v>98</v>
      </c>
      <c r="D48" s="131"/>
      <c r="E48" s="99">
        <v>98</v>
      </c>
    </row>
    <row r="49" spans="1:8" ht="33.75" customHeight="1">
      <c r="A49" s="110">
        <v>3</v>
      </c>
      <c r="B49" s="111" t="s">
        <v>204</v>
      </c>
      <c r="C49" s="99">
        <f t="shared" si="1"/>
        <v>553</v>
      </c>
      <c r="D49" s="131"/>
      <c r="E49" s="99">
        <v>553</v>
      </c>
      <c r="H49" s="77">
        <v>25799</v>
      </c>
    </row>
    <row r="50" spans="1:8" ht="26.25" customHeight="1">
      <c r="A50" s="110">
        <v>4</v>
      </c>
      <c r="B50" s="111" t="s">
        <v>205</v>
      </c>
      <c r="C50" s="99">
        <f t="shared" si="1"/>
        <v>1630</v>
      </c>
      <c r="D50" s="131"/>
      <c r="E50" s="99">
        <v>1630</v>
      </c>
      <c r="H50" s="77">
        <v>26074</v>
      </c>
    </row>
    <row r="51" spans="1:8" ht="32.25" customHeight="1">
      <c r="A51" s="110">
        <v>5</v>
      </c>
      <c r="B51" s="111" t="s">
        <v>220</v>
      </c>
      <c r="C51" s="99">
        <f t="shared" si="1"/>
        <v>51</v>
      </c>
      <c r="D51" s="131"/>
      <c r="E51" s="99">
        <v>51</v>
      </c>
      <c r="H51" s="77">
        <f>H49-H50</f>
        <v>-275</v>
      </c>
    </row>
    <row r="52" spans="1:5" ht="33.75" customHeight="1">
      <c r="A52" s="110">
        <v>6</v>
      </c>
      <c r="B52" s="111" t="s">
        <v>326</v>
      </c>
      <c r="C52" s="99">
        <f t="shared" si="1"/>
        <v>3160</v>
      </c>
      <c r="D52" s="99">
        <f>3160-850</f>
        <v>2310</v>
      </c>
      <c r="E52" s="99">
        <v>850</v>
      </c>
    </row>
    <row r="53" spans="1:5" ht="48" customHeight="1">
      <c r="A53" s="110">
        <v>7</v>
      </c>
      <c r="B53" s="111" t="s">
        <v>221</v>
      </c>
      <c r="C53" s="99">
        <f t="shared" si="1"/>
        <v>663</v>
      </c>
      <c r="D53" s="131"/>
      <c r="E53" s="99">
        <v>663</v>
      </c>
    </row>
    <row r="54" spans="1:5" ht="24" customHeight="1">
      <c r="A54" s="110">
        <v>8</v>
      </c>
      <c r="B54" s="111" t="s">
        <v>222</v>
      </c>
      <c r="C54" s="99">
        <f t="shared" si="1"/>
        <v>671</v>
      </c>
      <c r="D54" s="131"/>
      <c r="E54" s="99">
        <v>671</v>
      </c>
    </row>
    <row r="55" spans="1:5" ht="24" customHeight="1">
      <c r="A55" s="110">
        <v>9</v>
      </c>
      <c r="B55" s="111" t="s">
        <v>223</v>
      </c>
      <c r="C55" s="99">
        <f t="shared" si="1"/>
        <v>79</v>
      </c>
      <c r="D55" s="131"/>
      <c r="E55" s="99">
        <v>79</v>
      </c>
    </row>
    <row r="56" spans="1:5" ht="34.5" customHeight="1">
      <c r="A56" s="110">
        <v>10</v>
      </c>
      <c r="B56" s="111" t="s">
        <v>206</v>
      </c>
      <c r="C56" s="99">
        <f t="shared" si="1"/>
        <v>27</v>
      </c>
      <c r="D56" s="131"/>
      <c r="E56" s="99">
        <v>27</v>
      </c>
    </row>
    <row r="57" spans="1:5" ht="34.5" customHeight="1">
      <c r="A57" s="110">
        <v>11</v>
      </c>
      <c r="B57" s="137" t="s">
        <v>224</v>
      </c>
      <c r="C57" s="99">
        <f t="shared" si="1"/>
        <v>10830</v>
      </c>
      <c r="D57" s="99">
        <v>10830</v>
      </c>
      <c r="E57" s="99"/>
    </row>
    <row r="58" spans="1:5" ht="34.5" customHeight="1">
      <c r="A58" s="110">
        <v>12</v>
      </c>
      <c r="B58" s="137" t="s">
        <v>225</v>
      </c>
      <c r="C58" s="99">
        <f t="shared" si="1"/>
        <v>57530</v>
      </c>
      <c r="D58" s="99">
        <v>57530</v>
      </c>
      <c r="E58" s="99"/>
    </row>
    <row r="59" spans="1:5" ht="28.5" customHeight="1">
      <c r="A59" s="110">
        <v>13</v>
      </c>
      <c r="B59" s="137" t="s">
        <v>325</v>
      </c>
      <c r="C59" s="99">
        <f t="shared" si="1"/>
        <v>30</v>
      </c>
      <c r="D59" s="99">
        <v>30</v>
      </c>
      <c r="E59" s="99"/>
    </row>
    <row r="60" spans="1:5" ht="28.5" customHeight="1">
      <c r="A60" s="110">
        <v>14</v>
      </c>
      <c r="B60" s="137" t="s">
        <v>226</v>
      </c>
      <c r="C60" s="99">
        <f t="shared" si="1"/>
        <v>500</v>
      </c>
      <c r="D60" s="99">
        <v>500</v>
      </c>
      <c r="E60" s="99"/>
    </row>
    <row r="61" spans="1:5" ht="28.5" customHeight="1">
      <c r="A61" s="110">
        <v>15</v>
      </c>
      <c r="B61" s="137" t="s">
        <v>227</v>
      </c>
      <c r="C61" s="99">
        <f t="shared" si="1"/>
        <v>110</v>
      </c>
      <c r="D61" s="99">
        <f>110-68</f>
        <v>42</v>
      </c>
      <c r="E61" s="99">
        <v>68</v>
      </c>
    </row>
    <row r="62" spans="1:5" ht="24.75" customHeight="1">
      <c r="A62" s="110">
        <v>16</v>
      </c>
      <c r="B62" s="137" t="s">
        <v>228</v>
      </c>
      <c r="C62" s="99">
        <f t="shared" si="1"/>
        <v>1000</v>
      </c>
      <c r="D62" s="99">
        <v>1000</v>
      </c>
      <c r="E62" s="103"/>
    </row>
    <row r="63" spans="1:5" ht="34.5" customHeight="1">
      <c r="A63" s="110">
        <v>17</v>
      </c>
      <c r="B63" s="137" t="s">
        <v>229</v>
      </c>
      <c r="C63" s="99">
        <f t="shared" si="1"/>
        <v>20000</v>
      </c>
      <c r="D63" s="99">
        <v>20000</v>
      </c>
      <c r="E63" s="99"/>
    </row>
    <row r="64" spans="1:5" ht="34.5" customHeight="1">
      <c r="A64" s="110">
        <v>18</v>
      </c>
      <c r="B64" s="137" t="s">
        <v>230</v>
      </c>
      <c r="C64" s="99">
        <f t="shared" si="1"/>
        <v>178</v>
      </c>
      <c r="D64" s="99">
        <v>178</v>
      </c>
      <c r="E64" s="99"/>
    </row>
    <row r="65" spans="1:5" ht="34.5" customHeight="1">
      <c r="A65" s="110">
        <v>19</v>
      </c>
      <c r="B65" s="137" t="s">
        <v>231</v>
      </c>
      <c r="C65" s="99">
        <f t="shared" si="1"/>
        <v>198</v>
      </c>
      <c r="D65" s="99">
        <v>198</v>
      </c>
      <c r="E65" s="99"/>
    </row>
    <row r="66" spans="1:5" ht="34.5" customHeight="1">
      <c r="A66" s="110">
        <v>20</v>
      </c>
      <c r="B66" s="137" t="s">
        <v>232</v>
      </c>
      <c r="C66" s="99">
        <f t="shared" si="1"/>
        <v>1104</v>
      </c>
      <c r="D66" s="99">
        <v>1104</v>
      </c>
      <c r="E66" s="99"/>
    </row>
    <row r="67" spans="1:5" ht="57" customHeight="1">
      <c r="A67" s="110">
        <v>21</v>
      </c>
      <c r="B67" s="137" t="s">
        <v>233</v>
      </c>
      <c r="C67" s="99">
        <f t="shared" si="1"/>
        <v>30000</v>
      </c>
      <c r="D67" s="99">
        <f>30000-E67</f>
        <v>26950</v>
      </c>
      <c r="E67" s="99">
        <f>1650+1400</f>
        <v>3050</v>
      </c>
    </row>
    <row r="68" spans="1:5" ht="26.25" customHeight="1">
      <c r="A68" s="138" t="s">
        <v>91</v>
      </c>
      <c r="B68" s="139" t="s">
        <v>92</v>
      </c>
      <c r="C68" s="140">
        <f>SUM(D68:E68)</f>
        <v>0</v>
      </c>
      <c r="D68" s="140"/>
      <c r="E68" s="140"/>
    </row>
  </sheetData>
  <sheetProtection/>
  <mergeCells count="11">
    <mergeCell ref="A7:A9"/>
    <mergeCell ref="B7:B9"/>
    <mergeCell ref="C7:C9"/>
    <mergeCell ref="D7:E7"/>
    <mergeCell ref="D8:D9"/>
    <mergeCell ref="E8:E9"/>
    <mergeCell ref="A1:B1"/>
    <mergeCell ref="D1:E1"/>
    <mergeCell ref="A3:E3"/>
    <mergeCell ref="A4:E4"/>
    <mergeCell ref="D6:E6"/>
  </mergeCells>
  <printOptions/>
  <pageMargins left="0.7086614173228347" right="0.1968503937007874" top="0.5511811023622047" bottom="0.4330708661417323"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8"/>
  <sheetViews>
    <sheetView zoomScalePageLayoutView="0" workbookViewId="0" topLeftCell="A7">
      <selection activeCell="N5" sqref="N5"/>
    </sheetView>
  </sheetViews>
  <sheetFormatPr defaultColWidth="9.00390625" defaultRowHeight="15"/>
  <cols>
    <col min="1" max="1" width="9.421875" style="1" customWidth="1"/>
    <col min="2" max="2" width="47.140625" style="1" customWidth="1"/>
    <col min="3" max="3" width="19.421875" style="1" customWidth="1"/>
    <col min="4" max="4" width="9.00390625" style="1" customWidth="1"/>
    <col min="5" max="5" width="9.421875" style="1" hidden="1" customWidth="1"/>
    <col min="6" max="7" width="0" style="1" hidden="1" customWidth="1"/>
    <col min="8" max="8" width="9.421875" style="1" hidden="1" customWidth="1"/>
    <col min="9" max="12" width="0" style="1" hidden="1" customWidth="1"/>
    <col min="13" max="16384" width="9.00390625" style="1" customWidth="1"/>
  </cols>
  <sheetData>
    <row r="1" spans="1:4" ht="33" customHeight="1">
      <c r="A1" s="226" t="s">
        <v>316</v>
      </c>
      <c r="B1" s="226"/>
      <c r="C1" s="54" t="s">
        <v>93</v>
      </c>
      <c r="D1" s="54"/>
    </row>
    <row r="2" ht="14.25">
      <c r="A2" s="28"/>
    </row>
    <row r="3" spans="1:3" ht="28.5" customHeight="1">
      <c r="A3" s="231" t="s">
        <v>321</v>
      </c>
      <c r="B3" s="231"/>
      <c r="C3" s="231"/>
    </row>
    <row r="4" spans="1:3" ht="14.25">
      <c r="A4" s="225" t="s">
        <v>1</v>
      </c>
      <c r="B4" s="225"/>
      <c r="C4" s="225"/>
    </row>
    <row r="5" spans="1:3" ht="14.25">
      <c r="A5" s="4"/>
      <c r="B5" s="4"/>
      <c r="C5" s="4"/>
    </row>
    <row r="6" ht="14.25">
      <c r="C6" s="4" t="s">
        <v>31</v>
      </c>
    </row>
    <row r="7" spans="1:3" ht="21" customHeight="1">
      <c r="A7" s="13" t="s">
        <v>2</v>
      </c>
      <c r="B7" s="55" t="s">
        <v>73</v>
      </c>
      <c r="C7" s="13" t="s">
        <v>94</v>
      </c>
    </row>
    <row r="8" spans="1:3" ht="21" customHeight="1">
      <c r="A8" s="13"/>
      <c r="B8" s="55" t="s">
        <v>313</v>
      </c>
      <c r="C8" s="33">
        <f>C9+C10+C38</f>
        <v>695251</v>
      </c>
    </row>
    <row r="9" spans="1:3" ht="21" customHeight="1">
      <c r="A9" s="10" t="s">
        <v>6</v>
      </c>
      <c r="B9" s="11" t="s">
        <v>814</v>
      </c>
      <c r="C9" s="57">
        <v>51320</v>
      </c>
    </row>
    <row r="10" spans="1:5" ht="21" customHeight="1">
      <c r="A10" s="5" t="s">
        <v>7</v>
      </c>
      <c r="B10" s="26" t="s">
        <v>813</v>
      </c>
      <c r="C10" s="39">
        <f>C12+C26+C36+C37</f>
        <v>643931</v>
      </c>
      <c r="E10" s="1">
        <v>897220</v>
      </c>
    </row>
    <row r="11" spans="1:5" ht="21" customHeight="1">
      <c r="A11" s="5"/>
      <c r="B11" s="6" t="s">
        <v>87</v>
      </c>
      <c r="C11" s="56"/>
      <c r="E11" s="40">
        <f>E10-C10</f>
        <v>253289</v>
      </c>
    </row>
    <row r="12" spans="1:3" ht="21" customHeight="1">
      <c r="A12" s="5" t="s">
        <v>8</v>
      </c>
      <c r="B12" s="26" t="s">
        <v>21</v>
      </c>
      <c r="C12" s="39">
        <f>C13+C25</f>
        <v>283440</v>
      </c>
    </row>
    <row r="13" spans="1:3" ht="21" customHeight="1">
      <c r="A13" s="7">
        <v>1</v>
      </c>
      <c r="B13" s="6" t="s">
        <v>80</v>
      </c>
      <c r="C13" s="20">
        <f>SUM(C15:C24)+59+369</f>
        <v>200902</v>
      </c>
    </row>
    <row r="14" spans="1:3" ht="21" customHeight="1">
      <c r="A14" s="7"/>
      <c r="B14" s="53" t="s">
        <v>87</v>
      </c>
      <c r="C14" s="24"/>
    </row>
    <row r="15" spans="1:3" ht="21" customHeight="1">
      <c r="A15" s="7" t="s">
        <v>95</v>
      </c>
      <c r="B15" s="6" t="s">
        <v>82</v>
      </c>
      <c r="C15" s="20">
        <f>33544-700</f>
        <v>32844</v>
      </c>
    </row>
    <row r="16" spans="1:3" ht="21" customHeight="1">
      <c r="A16" s="7" t="s">
        <v>96</v>
      </c>
      <c r="B16" s="6" t="s">
        <v>83</v>
      </c>
      <c r="C16" s="20">
        <v>567</v>
      </c>
    </row>
    <row r="17" spans="1:8" ht="21" customHeight="1">
      <c r="A17" s="7" t="s">
        <v>97</v>
      </c>
      <c r="B17" s="6" t="s">
        <v>98</v>
      </c>
      <c r="C17" s="20"/>
      <c r="H17" s="40">
        <f>E10-C8</f>
        <v>201969</v>
      </c>
    </row>
    <row r="18" spans="1:3" ht="21" customHeight="1">
      <c r="A18" s="7" t="s">
        <v>99</v>
      </c>
      <c r="B18" s="6" t="s">
        <v>100</v>
      </c>
      <c r="C18" s="20">
        <f>2552-781</f>
        <v>1771</v>
      </c>
    </row>
    <row r="19" spans="1:3" ht="21" customHeight="1">
      <c r="A19" s="7" t="s">
        <v>101</v>
      </c>
      <c r="B19" s="6" t="s">
        <v>102</v>
      </c>
      <c r="C19" s="20"/>
    </row>
    <row r="20" spans="1:3" ht="21" customHeight="1">
      <c r="A20" s="7" t="s">
        <v>103</v>
      </c>
      <c r="B20" s="6" t="s">
        <v>104</v>
      </c>
      <c r="C20" s="20">
        <v>1306</v>
      </c>
    </row>
    <row r="21" spans="1:3" ht="21" customHeight="1">
      <c r="A21" s="7" t="s">
        <v>105</v>
      </c>
      <c r="B21" s="6" t="s">
        <v>106</v>
      </c>
      <c r="C21" s="20">
        <v>905</v>
      </c>
    </row>
    <row r="22" spans="1:3" ht="21" customHeight="1">
      <c r="A22" s="7" t="s">
        <v>107</v>
      </c>
      <c r="B22" s="6" t="s">
        <v>108</v>
      </c>
      <c r="C22" s="20">
        <f>173584-14291</f>
        <v>159293</v>
      </c>
    </row>
    <row r="23" spans="1:3" ht="33.75" customHeight="1">
      <c r="A23" s="7" t="s">
        <v>109</v>
      </c>
      <c r="B23" s="6" t="s">
        <v>110</v>
      </c>
      <c r="C23" s="20">
        <v>3513</v>
      </c>
    </row>
    <row r="24" spans="1:3" ht="21" customHeight="1">
      <c r="A24" s="7" t="s">
        <v>111</v>
      </c>
      <c r="B24" s="6" t="s">
        <v>112</v>
      </c>
      <c r="C24" s="20">
        <v>275</v>
      </c>
    </row>
    <row r="25" spans="1:3" ht="21" customHeight="1">
      <c r="A25" s="7">
        <v>2</v>
      </c>
      <c r="B25" s="6" t="s">
        <v>86</v>
      </c>
      <c r="C25" s="20">
        <v>82538</v>
      </c>
    </row>
    <row r="26" spans="1:3" ht="21" customHeight="1">
      <c r="A26" s="5" t="s">
        <v>11</v>
      </c>
      <c r="B26" s="26" t="s">
        <v>22</v>
      </c>
      <c r="C26" s="39">
        <f>'72'!D37</f>
        <v>347109</v>
      </c>
    </row>
    <row r="27" spans="1:3" ht="21" customHeight="1">
      <c r="A27" s="5"/>
      <c r="B27" s="53" t="s">
        <v>87</v>
      </c>
      <c r="C27" s="20"/>
    </row>
    <row r="28" spans="1:3" ht="21" customHeight="1">
      <c r="A28" s="7">
        <v>1</v>
      </c>
      <c r="B28" s="6" t="s">
        <v>82</v>
      </c>
      <c r="C28" s="20">
        <f>310782+478</f>
        <v>311260</v>
      </c>
    </row>
    <row r="29" spans="1:3" ht="21" customHeight="1">
      <c r="A29" s="7">
        <v>2</v>
      </c>
      <c r="B29" s="6" t="s">
        <v>83</v>
      </c>
      <c r="C29" s="20">
        <v>280</v>
      </c>
    </row>
    <row r="30" spans="1:3" ht="21" customHeight="1">
      <c r="A30" s="7">
        <v>3</v>
      </c>
      <c r="B30" s="6" t="s">
        <v>98</v>
      </c>
      <c r="C30" s="20"/>
    </row>
    <row r="31" spans="1:3" ht="21" customHeight="1">
      <c r="A31" s="7">
        <v>4</v>
      </c>
      <c r="B31" s="6" t="s">
        <v>234</v>
      </c>
      <c r="C31" s="20">
        <v>4277</v>
      </c>
    </row>
    <row r="32" spans="1:3" ht="21" customHeight="1">
      <c r="A32" s="7">
        <v>5</v>
      </c>
      <c r="B32" s="6" t="s">
        <v>106</v>
      </c>
      <c r="C32" s="20">
        <v>900</v>
      </c>
    </row>
    <row r="33" spans="1:3" ht="21" customHeight="1">
      <c r="A33" s="7">
        <v>6</v>
      </c>
      <c r="B33" s="6" t="s">
        <v>108</v>
      </c>
      <c r="C33" s="20">
        <v>44457</v>
      </c>
    </row>
    <row r="34" spans="1:3" ht="30.75" customHeight="1">
      <c r="A34" s="7">
        <v>7</v>
      </c>
      <c r="B34" s="6" t="s">
        <v>110</v>
      </c>
      <c r="C34" s="20">
        <f>31773+1100</f>
        <v>32873</v>
      </c>
    </row>
    <row r="35" spans="1:3" ht="21" customHeight="1">
      <c r="A35" s="7">
        <v>8</v>
      </c>
      <c r="B35" s="6" t="s">
        <v>112</v>
      </c>
      <c r="C35" s="20">
        <v>65110</v>
      </c>
    </row>
    <row r="36" spans="1:3" ht="21" customHeight="1">
      <c r="A36" s="5" t="s">
        <v>15</v>
      </c>
      <c r="B36" s="26" t="s">
        <v>113</v>
      </c>
      <c r="C36" s="39">
        <v>13382</v>
      </c>
    </row>
    <row r="37" spans="1:3" ht="21" customHeight="1">
      <c r="A37" s="5" t="s">
        <v>17</v>
      </c>
      <c r="B37" s="26" t="s">
        <v>114</v>
      </c>
      <c r="C37" s="20"/>
    </row>
    <row r="38" spans="1:3" ht="21" customHeight="1">
      <c r="A38" s="9" t="s">
        <v>91</v>
      </c>
      <c r="B38" s="15" t="s">
        <v>92</v>
      </c>
      <c r="C38" s="41"/>
    </row>
  </sheetData>
  <sheetProtection/>
  <mergeCells count="3">
    <mergeCell ref="A3:C3"/>
    <mergeCell ref="A4:C4"/>
    <mergeCell ref="A1:B1"/>
  </mergeCells>
  <printOptions/>
  <pageMargins left="0.83" right="0.19" top="0.53" bottom="0.41" header="0.3" footer="0.3"/>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L78"/>
  <sheetViews>
    <sheetView zoomScalePageLayoutView="0" workbookViewId="0" topLeftCell="A1">
      <selection activeCell="E12" sqref="E12"/>
    </sheetView>
  </sheetViews>
  <sheetFormatPr defaultColWidth="9.00390625" defaultRowHeight="15"/>
  <cols>
    <col min="1" max="1" width="6.28125" style="78" customWidth="1"/>
    <col min="2" max="2" width="33.140625" style="78" customWidth="1"/>
    <col min="3" max="3" width="9.421875" style="78" customWidth="1"/>
    <col min="4" max="4" width="10.421875" style="78" customWidth="1"/>
    <col min="5" max="5" width="9.8515625" style="78" customWidth="1"/>
    <col min="6" max="6" width="8.421875" style="78" customWidth="1"/>
    <col min="7" max="7" width="9.57421875" style="78" bestFit="1" customWidth="1"/>
    <col min="8" max="8" width="8.7109375" style="78" customWidth="1"/>
    <col min="9" max="9" width="7.140625" style="78" customWidth="1"/>
    <col min="10" max="10" width="9.7109375" style="78" customWidth="1"/>
    <col min="11" max="11" width="10.28125" style="78" customWidth="1"/>
    <col min="12" max="12" width="9.00390625" style="78" customWidth="1"/>
    <col min="13" max="16384" width="9.00390625" style="78" customWidth="1"/>
  </cols>
  <sheetData>
    <row r="1" spans="1:12" ht="28.5" customHeight="1">
      <c r="A1" s="237" t="s">
        <v>316</v>
      </c>
      <c r="B1" s="237"/>
      <c r="C1" s="237"/>
      <c r="J1" s="236" t="s">
        <v>115</v>
      </c>
      <c r="K1" s="236"/>
      <c r="L1" s="236"/>
    </row>
    <row r="2" ht="12.75">
      <c r="A2" s="79"/>
    </row>
    <row r="3" spans="1:12" ht="17.25" customHeight="1">
      <c r="A3" s="241" t="s">
        <v>322</v>
      </c>
      <c r="B3" s="241"/>
      <c r="C3" s="241"/>
      <c r="D3" s="241"/>
      <c r="E3" s="241"/>
      <c r="F3" s="241"/>
      <c r="G3" s="241"/>
      <c r="H3" s="241"/>
      <c r="I3" s="241"/>
      <c r="J3" s="241"/>
      <c r="K3" s="241"/>
      <c r="L3" s="241"/>
    </row>
    <row r="4" spans="1:12" ht="17.25" customHeight="1">
      <c r="A4" s="238" t="s">
        <v>1</v>
      </c>
      <c r="B4" s="238"/>
      <c r="C4" s="238"/>
      <c r="D4" s="238"/>
      <c r="E4" s="238"/>
      <c r="F4" s="238"/>
      <c r="G4" s="238"/>
      <c r="H4" s="238"/>
      <c r="I4" s="238"/>
      <c r="J4" s="238"/>
      <c r="K4" s="238"/>
      <c r="L4" s="238"/>
    </row>
    <row r="5" spans="1:12" ht="12.75">
      <c r="A5" s="80"/>
      <c r="B5" s="80"/>
      <c r="C5" s="80"/>
      <c r="D5" s="80"/>
      <c r="E5" s="80"/>
      <c r="F5" s="80"/>
      <c r="G5" s="80"/>
      <c r="H5" s="80"/>
      <c r="I5" s="80"/>
      <c r="J5" s="80"/>
      <c r="K5" s="80"/>
      <c r="L5" s="80"/>
    </row>
    <row r="6" spans="10:12" ht="12.75">
      <c r="J6" s="239" t="s">
        <v>31</v>
      </c>
      <c r="K6" s="239"/>
      <c r="L6" s="239"/>
    </row>
    <row r="7" spans="1:12" ht="22.5" customHeight="1">
      <c r="A7" s="240" t="s">
        <v>2</v>
      </c>
      <c r="B7" s="240" t="s">
        <v>116</v>
      </c>
      <c r="C7" s="240" t="s">
        <v>117</v>
      </c>
      <c r="D7" s="240" t="s">
        <v>118</v>
      </c>
      <c r="E7" s="240" t="s">
        <v>119</v>
      </c>
      <c r="F7" s="240" t="s">
        <v>120</v>
      </c>
      <c r="G7" s="240" t="s">
        <v>294</v>
      </c>
      <c r="H7" s="240" t="s">
        <v>121</v>
      </c>
      <c r="I7" s="240" t="s">
        <v>122</v>
      </c>
      <c r="J7" s="240"/>
      <c r="K7" s="240"/>
      <c r="L7" s="240" t="s">
        <v>123</v>
      </c>
    </row>
    <row r="8" spans="1:12" ht="110.25" customHeight="1">
      <c r="A8" s="240"/>
      <c r="B8" s="240"/>
      <c r="C8" s="240"/>
      <c r="D8" s="240"/>
      <c r="E8" s="240"/>
      <c r="F8" s="240"/>
      <c r="G8" s="240"/>
      <c r="H8" s="240"/>
      <c r="I8" s="81" t="s">
        <v>124</v>
      </c>
      <c r="J8" s="81" t="s">
        <v>125</v>
      </c>
      <c r="K8" s="81" t="s">
        <v>126</v>
      </c>
      <c r="L8" s="240"/>
    </row>
    <row r="9" spans="1:12" ht="18.75" customHeight="1">
      <c r="A9" s="82" t="s">
        <v>6</v>
      </c>
      <c r="B9" s="82" t="s">
        <v>7</v>
      </c>
      <c r="C9" s="82">
        <v>1</v>
      </c>
      <c r="D9" s="82">
        <v>2</v>
      </c>
      <c r="E9" s="82">
        <v>3</v>
      </c>
      <c r="F9" s="82">
        <v>4</v>
      </c>
      <c r="G9" s="82">
        <v>5</v>
      </c>
      <c r="H9" s="82">
        <v>6</v>
      </c>
      <c r="I9" s="82">
        <v>7</v>
      </c>
      <c r="J9" s="82">
        <v>8</v>
      </c>
      <c r="K9" s="82">
        <v>9</v>
      </c>
      <c r="L9" s="82">
        <v>10</v>
      </c>
    </row>
    <row r="10" spans="1:12" ht="19.5" customHeight="1">
      <c r="A10" s="81"/>
      <c r="B10" s="81" t="s">
        <v>124</v>
      </c>
      <c r="C10" s="143">
        <f>SUM(D10:H10)</f>
        <v>784420</v>
      </c>
      <c r="D10" s="143">
        <f>D11+D75+D76+D77+D78</f>
        <v>283440</v>
      </c>
      <c r="E10" s="143">
        <f aca="true" t="shared" si="0" ref="E10:L10">E11+E75+E76+E77+E78</f>
        <v>467781</v>
      </c>
      <c r="F10" s="143">
        <f t="shared" si="0"/>
        <v>13382</v>
      </c>
      <c r="G10" s="143">
        <f t="shared" si="0"/>
        <v>19817</v>
      </c>
      <c r="H10" s="143">
        <f t="shared" si="0"/>
        <v>0</v>
      </c>
      <c r="I10" s="143">
        <f t="shared" si="0"/>
        <v>0</v>
      </c>
      <c r="J10" s="143">
        <f t="shared" si="0"/>
        <v>0</v>
      </c>
      <c r="K10" s="143">
        <f t="shared" si="0"/>
        <v>0</v>
      </c>
      <c r="L10" s="143">
        <f t="shared" si="0"/>
        <v>0</v>
      </c>
    </row>
    <row r="11" spans="1:12" ht="19.5" customHeight="1">
      <c r="A11" s="81" t="s">
        <v>8</v>
      </c>
      <c r="B11" s="84" t="s">
        <v>127</v>
      </c>
      <c r="C11" s="143">
        <f>SUM(D11:H11)</f>
        <v>751221</v>
      </c>
      <c r="D11" s="143">
        <f>SUM(D13:D56)+D74+369+59</f>
        <v>283440</v>
      </c>
      <c r="E11" s="143">
        <f>SUM(E13:E56)+E74+4974</f>
        <v>467781</v>
      </c>
      <c r="F11" s="143">
        <f aca="true" t="shared" si="1" ref="F11:L11">SUM(F13:F56)+F74</f>
        <v>0</v>
      </c>
      <c r="G11" s="143">
        <f t="shared" si="1"/>
        <v>0</v>
      </c>
      <c r="H11" s="143">
        <f t="shared" si="1"/>
        <v>0</v>
      </c>
      <c r="I11" s="143">
        <f t="shared" si="1"/>
        <v>0</v>
      </c>
      <c r="J11" s="143">
        <f t="shared" si="1"/>
        <v>0</v>
      </c>
      <c r="K11" s="143">
        <f t="shared" si="1"/>
        <v>0</v>
      </c>
      <c r="L11" s="143">
        <f t="shared" si="1"/>
        <v>0</v>
      </c>
    </row>
    <row r="12" spans="1:12" ht="19.5" customHeight="1">
      <c r="A12" s="85"/>
      <c r="B12" s="86" t="s">
        <v>87</v>
      </c>
      <c r="C12" s="87"/>
      <c r="D12" s="87"/>
      <c r="E12" s="87"/>
      <c r="F12" s="87"/>
      <c r="G12" s="87"/>
      <c r="H12" s="87"/>
      <c r="I12" s="87"/>
      <c r="J12" s="87"/>
      <c r="K12" s="87"/>
      <c r="L12" s="88"/>
    </row>
    <row r="13" spans="1:12" ht="19.5" customHeight="1">
      <c r="A13" s="89">
        <v>1</v>
      </c>
      <c r="B13" s="90" t="s">
        <v>323</v>
      </c>
      <c r="C13" s="91">
        <f>SUM(D13:H13)</f>
        <v>7449</v>
      </c>
      <c r="D13" s="92">
        <v>150</v>
      </c>
      <c r="E13" s="92">
        <f>6799+500</f>
        <v>7299</v>
      </c>
      <c r="F13" s="93"/>
      <c r="G13" s="93"/>
      <c r="H13" s="93"/>
      <c r="I13" s="91">
        <f>SUM(J13:K13)</f>
        <v>0</v>
      </c>
      <c r="J13" s="91"/>
      <c r="K13" s="91"/>
      <c r="L13" s="91"/>
    </row>
    <row r="14" spans="1:12" ht="19.5" customHeight="1">
      <c r="A14" s="89">
        <v>2</v>
      </c>
      <c r="B14" s="90" t="s">
        <v>235</v>
      </c>
      <c r="C14" s="94">
        <f aca="true" t="shared" si="2" ref="C14:C78">SUM(D14:H14)</f>
        <v>1707</v>
      </c>
      <c r="D14" s="95"/>
      <c r="E14" s="95">
        <f>1487+220</f>
        <v>1707</v>
      </c>
      <c r="F14" s="93"/>
      <c r="G14" s="93"/>
      <c r="H14" s="93"/>
      <c r="I14" s="91">
        <f>SUM(J14:K14)</f>
        <v>0</v>
      </c>
      <c r="J14" s="91"/>
      <c r="K14" s="91"/>
      <c r="L14" s="91"/>
    </row>
    <row r="15" spans="1:12" ht="19.5" customHeight="1">
      <c r="A15" s="89">
        <v>3</v>
      </c>
      <c r="B15" s="90" t="s">
        <v>236</v>
      </c>
      <c r="C15" s="94">
        <f t="shared" si="2"/>
        <v>2275</v>
      </c>
      <c r="D15" s="95"/>
      <c r="E15" s="95">
        <f>1115+1160</f>
        <v>2275</v>
      </c>
      <c r="F15" s="93"/>
      <c r="G15" s="93"/>
      <c r="H15" s="93"/>
      <c r="I15" s="91">
        <f aca="true" t="shared" si="3" ref="I15:I54">SUM(J15:K15)</f>
        <v>0</v>
      </c>
      <c r="J15" s="91"/>
      <c r="K15" s="91"/>
      <c r="L15" s="91"/>
    </row>
    <row r="16" spans="1:12" ht="19.5" customHeight="1">
      <c r="A16" s="89">
        <v>4</v>
      </c>
      <c r="B16" s="90" t="s">
        <v>237</v>
      </c>
      <c r="C16" s="94">
        <f t="shared" si="2"/>
        <v>64350</v>
      </c>
      <c r="D16" s="95"/>
      <c r="E16" s="95">
        <f>840+63510</f>
        <v>64350</v>
      </c>
      <c r="F16" s="93"/>
      <c r="G16" s="93"/>
      <c r="H16" s="93"/>
      <c r="I16" s="91">
        <f t="shared" si="3"/>
        <v>0</v>
      </c>
      <c r="J16" s="91"/>
      <c r="K16" s="91"/>
      <c r="L16" s="91"/>
    </row>
    <row r="17" spans="1:12" ht="19.5" customHeight="1">
      <c r="A17" s="89">
        <v>5</v>
      </c>
      <c r="B17" s="90" t="s">
        <v>238</v>
      </c>
      <c r="C17" s="94">
        <f t="shared" si="2"/>
        <v>22319</v>
      </c>
      <c r="D17" s="95">
        <f>1151+7263+700+6000</f>
        <v>15114</v>
      </c>
      <c r="E17" s="95">
        <f>705+1500+1784+836+903+1477</f>
        <v>7205</v>
      </c>
      <c r="F17" s="93"/>
      <c r="G17" s="93"/>
      <c r="H17" s="93"/>
      <c r="I17" s="91">
        <f t="shared" si="3"/>
        <v>0</v>
      </c>
      <c r="J17" s="91"/>
      <c r="K17" s="91"/>
      <c r="L17" s="91"/>
    </row>
    <row r="18" spans="1:12" ht="19.5" customHeight="1">
      <c r="A18" s="89">
        <v>6</v>
      </c>
      <c r="B18" s="90" t="s">
        <v>239</v>
      </c>
      <c r="C18" s="94">
        <f t="shared" si="2"/>
        <v>1575</v>
      </c>
      <c r="D18" s="95"/>
      <c r="E18" s="95">
        <f>1075+500</f>
        <v>1575</v>
      </c>
      <c r="F18" s="93"/>
      <c r="G18" s="93"/>
      <c r="H18" s="93"/>
      <c r="I18" s="91">
        <f t="shared" si="3"/>
        <v>0</v>
      </c>
      <c r="J18" s="91"/>
      <c r="K18" s="91"/>
      <c r="L18" s="91"/>
    </row>
    <row r="19" spans="1:12" ht="19.5" customHeight="1">
      <c r="A19" s="89">
        <v>7</v>
      </c>
      <c r="B19" s="90" t="s">
        <v>240</v>
      </c>
      <c r="C19" s="94">
        <f t="shared" si="2"/>
        <v>632</v>
      </c>
      <c r="D19" s="95"/>
      <c r="E19" s="95">
        <v>632</v>
      </c>
      <c r="F19" s="93"/>
      <c r="G19" s="93"/>
      <c r="H19" s="93"/>
      <c r="I19" s="91">
        <f t="shared" si="3"/>
        <v>0</v>
      </c>
      <c r="J19" s="91"/>
      <c r="K19" s="91"/>
      <c r="L19" s="91"/>
    </row>
    <row r="20" spans="1:12" ht="19.5" customHeight="1">
      <c r="A20" s="89">
        <v>8</v>
      </c>
      <c r="B20" s="90" t="s">
        <v>324</v>
      </c>
      <c r="C20" s="94">
        <f t="shared" si="2"/>
        <v>1339</v>
      </c>
      <c r="D20" s="95"/>
      <c r="E20" s="95">
        <v>1339</v>
      </c>
      <c r="F20" s="93"/>
      <c r="G20" s="93"/>
      <c r="H20" s="93"/>
      <c r="I20" s="91">
        <f t="shared" si="3"/>
        <v>0</v>
      </c>
      <c r="J20" s="91"/>
      <c r="K20" s="91"/>
      <c r="L20" s="91"/>
    </row>
    <row r="21" spans="1:12" ht="19.5" customHeight="1">
      <c r="A21" s="89">
        <v>9</v>
      </c>
      <c r="B21" s="90" t="s">
        <v>241</v>
      </c>
      <c r="C21" s="94">
        <f t="shared" si="2"/>
        <v>290396</v>
      </c>
      <c r="D21" s="95">
        <f>1141+2600+1500</f>
        <v>5241</v>
      </c>
      <c r="E21" s="95">
        <f>509+284646</f>
        <v>285155</v>
      </c>
      <c r="F21" s="93"/>
      <c r="G21" s="93"/>
      <c r="H21" s="93"/>
      <c r="I21" s="91">
        <f t="shared" si="3"/>
        <v>0</v>
      </c>
      <c r="J21" s="91"/>
      <c r="K21" s="91"/>
      <c r="L21" s="91"/>
    </row>
    <row r="22" spans="1:12" ht="19.5" customHeight="1">
      <c r="A22" s="89">
        <v>10</v>
      </c>
      <c r="B22" s="90" t="s">
        <v>242</v>
      </c>
      <c r="C22" s="94">
        <f t="shared" si="2"/>
        <v>640</v>
      </c>
      <c r="D22" s="95"/>
      <c r="E22" s="95">
        <v>640</v>
      </c>
      <c r="F22" s="93"/>
      <c r="G22" s="93"/>
      <c r="H22" s="93"/>
      <c r="I22" s="91">
        <f t="shared" si="3"/>
        <v>0</v>
      </c>
      <c r="J22" s="91"/>
      <c r="K22" s="91"/>
      <c r="L22" s="91"/>
    </row>
    <row r="23" spans="1:12" ht="19.5" customHeight="1">
      <c r="A23" s="89">
        <v>11</v>
      </c>
      <c r="B23" s="90" t="s">
        <v>243</v>
      </c>
      <c r="C23" s="94">
        <f t="shared" si="2"/>
        <v>1689</v>
      </c>
      <c r="D23" s="95"/>
      <c r="E23" s="95">
        <v>1689</v>
      </c>
      <c r="F23" s="93"/>
      <c r="G23" s="93"/>
      <c r="H23" s="93"/>
      <c r="I23" s="91">
        <f t="shared" si="3"/>
        <v>0</v>
      </c>
      <c r="J23" s="91"/>
      <c r="K23" s="91"/>
      <c r="L23" s="91"/>
    </row>
    <row r="24" spans="1:12" ht="19.5" customHeight="1">
      <c r="A24" s="89">
        <v>12</v>
      </c>
      <c r="B24" s="90" t="s">
        <v>244</v>
      </c>
      <c r="C24" s="94">
        <f t="shared" si="2"/>
        <v>919</v>
      </c>
      <c r="D24" s="95"/>
      <c r="E24" s="95">
        <v>919</v>
      </c>
      <c r="F24" s="93"/>
      <c r="G24" s="93"/>
      <c r="H24" s="93"/>
      <c r="I24" s="91">
        <f t="shared" si="3"/>
        <v>0</v>
      </c>
      <c r="J24" s="91"/>
      <c r="K24" s="91"/>
      <c r="L24" s="91"/>
    </row>
    <row r="25" spans="1:12" ht="19.5" customHeight="1">
      <c r="A25" s="89">
        <v>13</v>
      </c>
      <c r="B25" s="90" t="s">
        <v>327</v>
      </c>
      <c r="C25" s="94">
        <f t="shared" si="2"/>
        <v>7786</v>
      </c>
      <c r="D25" s="95"/>
      <c r="E25" s="95">
        <v>7786</v>
      </c>
      <c r="F25" s="93"/>
      <c r="G25" s="93"/>
      <c r="H25" s="93"/>
      <c r="I25" s="91">
        <f t="shared" si="3"/>
        <v>0</v>
      </c>
      <c r="J25" s="91"/>
      <c r="K25" s="91"/>
      <c r="L25" s="91"/>
    </row>
    <row r="26" spans="1:12" ht="19.5" customHeight="1">
      <c r="A26" s="89"/>
      <c r="B26" s="90" t="s">
        <v>328</v>
      </c>
      <c r="C26" s="94">
        <f t="shared" si="2"/>
        <v>1017</v>
      </c>
      <c r="D26" s="95"/>
      <c r="E26" s="95">
        <f>382+635</f>
        <v>1017</v>
      </c>
      <c r="F26" s="93"/>
      <c r="G26" s="93"/>
      <c r="H26" s="93"/>
      <c r="I26" s="91"/>
      <c r="J26" s="91"/>
      <c r="K26" s="91"/>
      <c r="L26" s="91"/>
    </row>
    <row r="27" spans="1:12" ht="19.5" customHeight="1">
      <c r="A27" s="89">
        <v>14</v>
      </c>
      <c r="B27" s="90" t="s">
        <v>329</v>
      </c>
      <c r="C27" s="94">
        <f t="shared" si="2"/>
        <v>1344</v>
      </c>
      <c r="D27" s="95"/>
      <c r="E27" s="95">
        <v>1344</v>
      </c>
      <c r="F27" s="93"/>
      <c r="G27" s="93"/>
      <c r="H27" s="93"/>
      <c r="I27" s="91">
        <f t="shared" si="3"/>
        <v>0</v>
      </c>
      <c r="J27" s="91"/>
      <c r="K27" s="91"/>
      <c r="L27" s="91"/>
    </row>
    <row r="28" spans="1:12" ht="19.5" customHeight="1">
      <c r="A28" s="89">
        <v>15</v>
      </c>
      <c r="B28" s="90" t="s">
        <v>330</v>
      </c>
      <c r="C28" s="94">
        <f t="shared" si="2"/>
        <v>1387</v>
      </c>
      <c r="D28" s="95"/>
      <c r="E28" s="95">
        <v>1387</v>
      </c>
      <c r="F28" s="93"/>
      <c r="G28" s="93"/>
      <c r="H28" s="93"/>
      <c r="I28" s="91">
        <f t="shared" si="3"/>
        <v>0</v>
      </c>
      <c r="J28" s="91"/>
      <c r="K28" s="91"/>
      <c r="L28" s="91"/>
    </row>
    <row r="29" spans="1:12" ht="19.5" customHeight="1">
      <c r="A29" s="89">
        <v>16</v>
      </c>
      <c r="B29" s="90" t="s">
        <v>245</v>
      </c>
      <c r="C29" s="94">
        <f t="shared" si="2"/>
        <v>1098</v>
      </c>
      <c r="D29" s="95"/>
      <c r="E29" s="95">
        <f>848+250</f>
        <v>1098</v>
      </c>
      <c r="F29" s="93"/>
      <c r="G29" s="93"/>
      <c r="H29" s="93"/>
      <c r="I29" s="91">
        <f t="shared" si="3"/>
        <v>0</v>
      </c>
      <c r="J29" s="91"/>
      <c r="K29" s="91"/>
      <c r="L29" s="91"/>
    </row>
    <row r="30" spans="1:12" ht="19.5" customHeight="1">
      <c r="A30" s="89">
        <v>17</v>
      </c>
      <c r="B30" s="90" t="s">
        <v>246</v>
      </c>
      <c r="C30" s="94">
        <f t="shared" si="2"/>
        <v>1792</v>
      </c>
      <c r="D30" s="95"/>
      <c r="E30" s="95">
        <v>1792</v>
      </c>
      <c r="F30" s="93"/>
      <c r="G30" s="93"/>
      <c r="H30" s="93"/>
      <c r="I30" s="91">
        <f t="shared" si="3"/>
        <v>0</v>
      </c>
      <c r="J30" s="91"/>
      <c r="K30" s="91"/>
      <c r="L30" s="91"/>
    </row>
    <row r="31" spans="1:12" ht="19.5" customHeight="1">
      <c r="A31" s="89">
        <v>18</v>
      </c>
      <c r="B31" s="90" t="s">
        <v>247</v>
      </c>
      <c r="C31" s="94">
        <f t="shared" si="2"/>
        <v>485</v>
      </c>
      <c r="D31" s="95"/>
      <c r="E31" s="95">
        <v>485</v>
      </c>
      <c r="F31" s="93"/>
      <c r="G31" s="93"/>
      <c r="H31" s="93"/>
      <c r="I31" s="91">
        <f t="shared" si="3"/>
        <v>0</v>
      </c>
      <c r="J31" s="91"/>
      <c r="K31" s="91"/>
      <c r="L31" s="91"/>
    </row>
    <row r="32" spans="1:12" ht="19.5" customHeight="1">
      <c r="A32" s="89">
        <v>19</v>
      </c>
      <c r="B32" s="90" t="s">
        <v>248</v>
      </c>
      <c r="C32" s="94">
        <f t="shared" si="2"/>
        <v>1905</v>
      </c>
      <c r="D32" s="95"/>
      <c r="E32" s="95">
        <v>1905</v>
      </c>
      <c r="F32" s="93"/>
      <c r="G32" s="93"/>
      <c r="H32" s="93"/>
      <c r="I32" s="91">
        <f t="shared" si="3"/>
        <v>0</v>
      </c>
      <c r="J32" s="91"/>
      <c r="K32" s="91"/>
      <c r="L32" s="91"/>
    </row>
    <row r="33" spans="1:12" ht="19.5" customHeight="1">
      <c r="A33" s="89">
        <v>20</v>
      </c>
      <c r="B33" s="90" t="s">
        <v>249</v>
      </c>
      <c r="C33" s="94">
        <f t="shared" si="2"/>
        <v>4503</v>
      </c>
      <c r="D33" s="95"/>
      <c r="E33" s="95">
        <v>4503</v>
      </c>
      <c r="F33" s="93"/>
      <c r="G33" s="93"/>
      <c r="H33" s="93"/>
      <c r="I33" s="91">
        <f t="shared" si="3"/>
        <v>0</v>
      </c>
      <c r="J33" s="91"/>
      <c r="K33" s="91"/>
      <c r="L33" s="91"/>
    </row>
    <row r="34" spans="1:12" ht="19.5" customHeight="1">
      <c r="A34" s="89">
        <v>21</v>
      </c>
      <c r="B34" s="90" t="s">
        <v>250</v>
      </c>
      <c r="C34" s="94">
        <f t="shared" si="2"/>
        <v>6269</v>
      </c>
      <c r="D34" s="95">
        <f>675+343+600</f>
        <v>1618</v>
      </c>
      <c r="E34" s="95">
        <f>4277+374</f>
        <v>4651</v>
      </c>
      <c r="F34" s="93"/>
      <c r="G34" s="93"/>
      <c r="H34" s="93"/>
      <c r="I34" s="91">
        <f t="shared" si="3"/>
        <v>0</v>
      </c>
      <c r="J34" s="91"/>
      <c r="K34" s="91"/>
      <c r="L34" s="91"/>
    </row>
    <row r="35" spans="1:12" ht="19.5" customHeight="1">
      <c r="A35" s="89">
        <v>22</v>
      </c>
      <c r="B35" s="90" t="s">
        <v>251</v>
      </c>
      <c r="C35" s="94">
        <f t="shared" si="2"/>
        <v>1183</v>
      </c>
      <c r="D35" s="95"/>
      <c r="E35" s="95">
        <v>1183</v>
      </c>
      <c r="F35" s="93"/>
      <c r="G35" s="93"/>
      <c r="H35" s="93"/>
      <c r="I35" s="91">
        <f t="shared" si="3"/>
        <v>0</v>
      </c>
      <c r="J35" s="91"/>
      <c r="K35" s="91"/>
      <c r="L35" s="91"/>
    </row>
    <row r="36" spans="1:12" ht="19.5" customHeight="1">
      <c r="A36" s="89">
        <v>23</v>
      </c>
      <c r="B36" s="90" t="s">
        <v>252</v>
      </c>
      <c r="C36" s="94">
        <f t="shared" si="2"/>
        <v>110</v>
      </c>
      <c r="D36" s="95"/>
      <c r="E36" s="95">
        <v>110</v>
      </c>
      <c r="F36" s="93"/>
      <c r="G36" s="93"/>
      <c r="H36" s="93"/>
      <c r="I36" s="91">
        <f t="shared" si="3"/>
        <v>0</v>
      </c>
      <c r="J36" s="91"/>
      <c r="K36" s="91"/>
      <c r="L36" s="91"/>
    </row>
    <row r="37" spans="1:12" ht="19.5" customHeight="1">
      <c r="A37" s="89">
        <v>24</v>
      </c>
      <c r="B37" s="90" t="s">
        <v>253</v>
      </c>
      <c r="C37" s="94">
        <f t="shared" si="2"/>
        <v>6435</v>
      </c>
      <c r="D37" s="95"/>
      <c r="E37" s="95">
        <v>6435</v>
      </c>
      <c r="F37" s="93"/>
      <c r="G37" s="93"/>
      <c r="H37" s="93"/>
      <c r="I37" s="91">
        <f t="shared" si="3"/>
        <v>0</v>
      </c>
      <c r="J37" s="91"/>
      <c r="K37" s="91"/>
      <c r="L37" s="91"/>
    </row>
    <row r="38" spans="1:12" ht="19.5" customHeight="1">
      <c r="A38" s="89">
        <v>25</v>
      </c>
      <c r="B38" s="96" t="s">
        <v>254</v>
      </c>
      <c r="C38" s="94">
        <f t="shared" si="2"/>
        <v>1253</v>
      </c>
      <c r="D38" s="95"/>
      <c r="E38" s="95">
        <v>1253</v>
      </c>
      <c r="F38" s="93"/>
      <c r="G38" s="93"/>
      <c r="H38" s="93"/>
      <c r="I38" s="91">
        <f t="shared" si="3"/>
        <v>0</v>
      </c>
      <c r="J38" s="91"/>
      <c r="K38" s="91"/>
      <c r="L38" s="91"/>
    </row>
    <row r="39" spans="1:12" ht="19.5" customHeight="1">
      <c r="A39" s="89">
        <v>26</v>
      </c>
      <c r="B39" s="96" t="s">
        <v>255</v>
      </c>
      <c r="C39" s="94">
        <f t="shared" si="2"/>
        <v>768</v>
      </c>
      <c r="D39" s="95"/>
      <c r="E39" s="95">
        <v>768</v>
      </c>
      <c r="F39" s="93"/>
      <c r="G39" s="93"/>
      <c r="H39" s="93"/>
      <c r="I39" s="91">
        <f t="shared" si="3"/>
        <v>0</v>
      </c>
      <c r="J39" s="91"/>
      <c r="K39" s="91"/>
      <c r="L39" s="91"/>
    </row>
    <row r="40" spans="1:12" ht="19.5" customHeight="1">
      <c r="A40" s="89">
        <v>27</v>
      </c>
      <c r="B40" s="96" t="s">
        <v>256</v>
      </c>
      <c r="C40" s="94">
        <f t="shared" si="2"/>
        <v>245</v>
      </c>
      <c r="D40" s="95"/>
      <c r="E40" s="95">
        <v>245</v>
      </c>
      <c r="F40" s="93"/>
      <c r="G40" s="93"/>
      <c r="H40" s="93"/>
      <c r="I40" s="91">
        <f t="shared" si="3"/>
        <v>0</v>
      </c>
      <c r="J40" s="91"/>
      <c r="K40" s="91"/>
      <c r="L40" s="91"/>
    </row>
    <row r="41" spans="1:12" ht="19.5" customHeight="1">
      <c r="A41" s="89">
        <v>28</v>
      </c>
      <c r="B41" s="96" t="s">
        <v>257</v>
      </c>
      <c r="C41" s="94">
        <f t="shared" si="2"/>
        <v>1316</v>
      </c>
      <c r="D41" s="95"/>
      <c r="E41" s="95">
        <v>1316</v>
      </c>
      <c r="F41" s="93"/>
      <c r="G41" s="93"/>
      <c r="H41" s="93"/>
      <c r="I41" s="91">
        <f t="shared" si="3"/>
        <v>0</v>
      </c>
      <c r="J41" s="91"/>
      <c r="K41" s="91"/>
      <c r="L41" s="91"/>
    </row>
    <row r="42" spans="1:12" ht="19.5" customHeight="1">
      <c r="A42" s="89">
        <v>29</v>
      </c>
      <c r="B42" s="97" t="s">
        <v>258</v>
      </c>
      <c r="C42" s="94">
        <f t="shared" si="2"/>
        <v>1061</v>
      </c>
      <c r="D42" s="95"/>
      <c r="E42" s="95">
        <v>1061</v>
      </c>
      <c r="F42" s="93"/>
      <c r="G42" s="93"/>
      <c r="H42" s="93"/>
      <c r="I42" s="91">
        <f t="shared" si="3"/>
        <v>0</v>
      </c>
      <c r="J42" s="91"/>
      <c r="K42" s="91"/>
      <c r="L42" s="91"/>
    </row>
    <row r="43" spans="1:12" ht="19.5" customHeight="1">
      <c r="A43" s="89">
        <v>30</v>
      </c>
      <c r="B43" s="96" t="s">
        <v>259</v>
      </c>
      <c r="C43" s="94">
        <f t="shared" si="2"/>
        <v>78</v>
      </c>
      <c r="D43" s="95"/>
      <c r="E43" s="95">
        <v>78</v>
      </c>
      <c r="F43" s="93"/>
      <c r="G43" s="93"/>
      <c r="H43" s="93"/>
      <c r="I43" s="91">
        <f t="shared" si="3"/>
        <v>0</v>
      </c>
      <c r="J43" s="91"/>
      <c r="K43" s="91"/>
      <c r="L43" s="91"/>
    </row>
    <row r="44" spans="1:12" ht="19.5" customHeight="1">
      <c r="A44" s="89">
        <v>31</v>
      </c>
      <c r="B44" s="96" t="s">
        <v>260</v>
      </c>
      <c r="C44" s="94">
        <f t="shared" si="2"/>
        <v>400</v>
      </c>
      <c r="D44" s="95"/>
      <c r="E44" s="95">
        <v>400</v>
      </c>
      <c r="F44" s="93"/>
      <c r="G44" s="93"/>
      <c r="H44" s="93"/>
      <c r="I44" s="91">
        <f t="shared" si="3"/>
        <v>0</v>
      </c>
      <c r="J44" s="91"/>
      <c r="K44" s="91"/>
      <c r="L44" s="91"/>
    </row>
    <row r="45" spans="1:12" ht="19.5" customHeight="1">
      <c r="A45" s="89">
        <v>32</v>
      </c>
      <c r="B45" s="96" t="s">
        <v>261</v>
      </c>
      <c r="C45" s="94">
        <f t="shared" si="2"/>
        <v>1898</v>
      </c>
      <c r="D45" s="95"/>
      <c r="E45" s="95">
        <v>1898</v>
      </c>
      <c r="F45" s="93"/>
      <c r="G45" s="93"/>
      <c r="H45" s="93"/>
      <c r="I45" s="91">
        <f t="shared" si="3"/>
        <v>0</v>
      </c>
      <c r="J45" s="91"/>
      <c r="K45" s="91"/>
      <c r="L45" s="91"/>
    </row>
    <row r="46" spans="1:12" ht="19.5" customHeight="1">
      <c r="A46" s="89">
        <v>33</v>
      </c>
      <c r="B46" s="96" t="s">
        <v>262</v>
      </c>
      <c r="C46" s="94">
        <f t="shared" si="2"/>
        <v>1283</v>
      </c>
      <c r="D46" s="95"/>
      <c r="E46" s="95">
        <v>1283</v>
      </c>
      <c r="F46" s="93"/>
      <c r="G46" s="93"/>
      <c r="H46" s="93"/>
      <c r="I46" s="91">
        <f t="shared" si="3"/>
        <v>0</v>
      </c>
      <c r="J46" s="91"/>
      <c r="K46" s="91"/>
      <c r="L46" s="91"/>
    </row>
    <row r="47" spans="1:12" ht="19.5" customHeight="1">
      <c r="A47" s="89">
        <v>34</v>
      </c>
      <c r="B47" s="96" t="s">
        <v>263</v>
      </c>
      <c r="C47" s="94">
        <f t="shared" si="2"/>
        <v>208</v>
      </c>
      <c r="D47" s="95"/>
      <c r="E47" s="95">
        <v>208</v>
      </c>
      <c r="F47" s="93"/>
      <c r="G47" s="93"/>
      <c r="H47" s="93"/>
      <c r="I47" s="91">
        <f t="shared" si="3"/>
        <v>0</v>
      </c>
      <c r="J47" s="91"/>
      <c r="K47" s="91"/>
      <c r="L47" s="91"/>
    </row>
    <row r="48" spans="1:12" ht="19.5" customHeight="1">
      <c r="A48" s="89">
        <v>35</v>
      </c>
      <c r="B48" s="96" t="s">
        <v>264</v>
      </c>
      <c r="C48" s="94">
        <f t="shared" si="2"/>
        <v>230</v>
      </c>
      <c r="D48" s="95"/>
      <c r="E48" s="95">
        <v>230</v>
      </c>
      <c r="F48" s="93"/>
      <c r="G48" s="93"/>
      <c r="H48" s="93"/>
      <c r="I48" s="91">
        <f t="shared" si="3"/>
        <v>0</v>
      </c>
      <c r="J48" s="91"/>
      <c r="K48" s="91"/>
      <c r="L48" s="91"/>
    </row>
    <row r="49" spans="1:12" ht="19.5" customHeight="1">
      <c r="A49" s="89">
        <v>36</v>
      </c>
      <c r="B49" s="96" t="s">
        <v>265</v>
      </c>
      <c r="C49" s="94">
        <f t="shared" si="2"/>
        <v>616</v>
      </c>
      <c r="D49" s="95"/>
      <c r="E49" s="95">
        <v>616</v>
      </c>
      <c r="F49" s="93"/>
      <c r="G49" s="93"/>
      <c r="H49" s="93"/>
      <c r="I49" s="91">
        <f t="shared" si="3"/>
        <v>0</v>
      </c>
      <c r="J49" s="91"/>
      <c r="K49" s="91"/>
      <c r="L49" s="91"/>
    </row>
    <row r="50" spans="1:12" ht="19.5" customHeight="1">
      <c r="A50" s="89">
        <v>37</v>
      </c>
      <c r="B50" s="96" t="s">
        <v>266</v>
      </c>
      <c r="C50" s="94">
        <f t="shared" si="2"/>
        <v>181</v>
      </c>
      <c r="D50" s="95"/>
      <c r="E50" s="95">
        <v>181</v>
      </c>
      <c r="F50" s="93"/>
      <c r="G50" s="93"/>
      <c r="H50" s="93"/>
      <c r="I50" s="91">
        <f t="shared" si="3"/>
        <v>0</v>
      </c>
      <c r="J50" s="91"/>
      <c r="K50" s="91"/>
      <c r="L50" s="91"/>
    </row>
    <row r="51" spans="1:12" ht="19.5" customHeight="1">
      <c r="A51" s="89">
        <v>38</v>
      </c>
      <c r="B51" s="96" t="s">
        <v>267</v>
      </c>
      <c r="C51" s="94">
        <f t="shared" si="2"/>
        <v>365</v>
      </c>
      <c r="D51" s="95"/>
      <c r="E51" s="95">
        <v>365</v>
      </c>
      <c r="F51" s="93"/>
      <c r="G51" s="93"/>
      <c r="H51" s="93"/>
      <c r="I51" s="91">
        <f t="shared" si="3"/>
        <v>0</v>
      </c>
      <c r="J51" s="91"/>
      <c r="K51" s="91"/>
      <c r="L51" s="91"/>
    </row>
    <row r="52" spans="1:12" ht="19.5" customHeight="1">
      <c r="A52" s="89">
        <v>39</v>
      </c>
      <c r="B52" s="97" t="s">
        <v>268</v>
      </c>
      <c r="C52" s="94">
        <f t="shared" si="2"/>
        <v>166</v>
      </c>
      <c r="D52" s="95"/>
      <c r="E52" s="95">
        <v>166</v>
      </c>
      <c r="F52" s="93"/>
      <c r="G52" s="93"/>
      <c r="H52" s="93"/>
      <c r="I52" s="91">
        <f t="shared" si="3"/>
        <v>0</v>
      </c>
      <c r="J52" s="91"/>
      <c r="K52" s="91"/>
      <c r="L52" s="91"/>
    </row>
    <row r="53" spans="1:12" ht="19.5" customHeight="1">
      <c r="A53" s="89">
        <v>40</v>
      </c>
      <c r="B53" s="96" t="s">
        <v>269</v>
      </c>
      <c r="C53" s="94">
        <f t="shared" si="2"/>
        <v>138</v>
      </c>
      <c r="D53" s="95"/>
      <c r="E53" s="95">
        <v>138</v>
      </c>
      <c r="F53" s="93"/>
      <c r="G53" s="93"/>
      <c r="H53" s="93"/>
      <c r="I53" s="91">
        <f t="shared" si="3"/>
        <v>0</v>
      </c>
      <c r="J53" s="91"/>
      <c r="K53" s="91"/>
      <c r="L53" s="91"/>
    </row>
    <row r="54" spans="1:12" ht="19.5" customHeight="1">
      <c r="A54" s="89">
        <v>41</v>
      </c>
      <c r="B54" s="97" t="s">
        <v>270</v>
      </c>
      <c r="C54" s="94">
        <f t="shared" si="2"/>
        <v>206</v>
      </c>
      <c r="D54" s="95"/>
      <c r="E54" s="95">
        <v>206</v>
      </c>
      <c r="F54" s="93"/>
      <c r="G54" s="93"/>
      <c r="H54" s="93"/>
      <c r="I54" s="91">
        <f t="shared" si="3"/>
        <v>0</v>
      </c>
      <c r="J54" s="91"/>
      <c r="K54" s="91"/>
      <c r="L54" s="91"/>
    </row>
    <row r="55" spans="1:12" ht="19.5" customHeight="1">
      <c r="A55" s="89">
        <v>42</v>
      </c>
      <c r="B55" s="97" t="s">
        <v>271</v>
      </c>
      <c r="C55" s="94">
        <f t="shared" si="2"/>
        <v>177784</v>
      </c>
      <c r="D55" s="95">
        <v>177784</v>
      </c>
      <c r="E55" s="95"/>
      <c r="F55" s="93"/>
      <c r="G55" s="93"/>
      <c r="H55" s="93"/>
      <c r="I55" s="91"/>
      <c r="J55" s="91"/>
      <c r="K55" s="91"/>
      <c r="L55" s="91"/>
    </row>
    <row r="56" spans="1:12" ht="19.5" customHeight="1">
      <c r="A56" s="89">
        <v>43</v>
      </c>
      <c r="B56" s="97" t="s">
        <v>272</v>
      </c>
      <c r="C56" s="94">
        <f t="shared" si="2"/>
        <v>125519</v>
      </c>
      <c r="D56" s="95">
        <f>D57+D62+D65+D66+D67+D68+D69+D70+D71+D72+D73</f>
        <v>83105</v>
      </c>
      <c r="E56" s="95">
        <f aca="true" t="shared" si="4" ref="E56:L56">E57+E62+E65+E66+E67+E68+E69+E70+E71+E72+E73</f>
        <v>42414</v>
      </c>
      <c r="F56" s="95">
        <f t="shared" si="4"/>
        <v>0</v>
      </c>
      <c r="G56" s="95">
        <f t="shared" si="4"/>
        <v>0</v>
      </c>
      <c r="H56" s="95">
        <f t="shared" si="4"/>
        <v>0</v>
      </c>
      <c r="I56" s="95">
        <f t="shared" si="4"/>
        <v>0</v>
      </c>
      <c r="J56" s="95">
        <f t="shared" si="4"/>
        <v>0</v>
      </c>
      <c r="K56" s="95">
        <f t="shared" si="4"/>
        <v>0</v>
      </c>
      <c r="L56" s="95">
        <f t="shared" si="4"/>
        <v>0</v>
      </c>
    </row>
    <row r="57" spans="1:12" ht="19.5" customHeight="1">
      <c r="A57" s="89" t="s">
        <v>273</v>
      </c>
      <c r="B57" s="97" t="s">
        <v>274</v>
      </c>
      <c r="C57" s="94">
        <f t="shared" si="2"/>
        <v>17468</v>
      </c>
      <c r="D57" s="95">
        <f>SUM(D58:D61)</f>
        <v>0</v>
      </c>
      <c r="E57" s="95">
        <f>SUM(E58:E61)</f>
        <v>17468</v>
      </c>
      <c r="F57" s="95">
        <f>SUM(F58:F61)</f>
        <v>0</v>
      </c>
      <c r="G57" s="95">
        <f>SUM(G58:G61)</f>
        <v>0</v>
      </c>
      <c r="H57" s="95">
        <f>SUM(H58:H61)</f>
        <v>0</v>
      </c>
      <c r="I57" s="91">
        <f>SUM(I58:I60)</f>
        <v>0</v>
      </c>
      <c r="J57" s="91">
        <f>SUM(J58:J60)</f>
        <v>0</v>
      </c>
      <c r="K57" s="91">
        <f>SUM(K58:K60)</f>
        <v>0</v>
      </c>
      <c r="L57" s="91">
        <f>SUM(L58:L60)</f>
        <v>0</v>
      </c>
    </row>
    <row r="58" spans="1:12" ht="32.25" customHeight="1">
      <c r="A58" s="98" t="s">
        <v>275</v>
      </c>
      <c r="B58" s="102" t="s">
        <v>331</v>
      </c>
      <c r="C58" s="99">
        <f t="shared" si="2"/>
        <v>1000</v>
      </c>
      <c r="D58" s="92"/>
      <c r="E58" s="99">
        <v>1000</v>
      </c>
      <c r="F58" s="93"/>
      <c r="G58" s="93"/>
      <c r="H58" s="93"/>
      <c r="I58" s="91"/>
      <c r="J58" s="91"/>
      <c r="K58" s="91"/>
      <c r="L58" s="91"/>
    </row>
    <row r="59" spans="1:12" ht="54.75" customHeight="1">
      <c r="A59" s="98" t="s">
        <v>276</v>
      </c>
      <c r="B59" s="102" t="s">
        <v>332</v>
      </c>
      <c r="C59" s="99">
        <f t="shared" si="2"/>
        <v>14550</v>
      </c>
      <c r="D59" s="92"/>
      <c r="E59" s="99">
        <v>14550</v>
      </c>
      <c r="F59" s="93"/>
      <c r="G59" s="93"/>
      <c r="H59" s="93"/>
      <c r="I59" s="91"/>
      <c r="J59" s="91"/>
      <c r="K59" s="91"/>
      <c r="L59" s="91"/>
    </row>
    <row r="60" spans="1:12" ht="89.25" customHeight="1">
      <c r="A60" s="98" t="s">
        <v>276</v>
      </c>
      <c r="B60" s="102" t="s">
        <v>333</v>
      </c>
      <c r="C60" s="99">
        <f t="shared" si="2"/>
        <v>1500</v>
      </c>
      <c r="D60" s="92"/>
      <c r="E60" s="99">
        <v>1500</v>
      </c>
      <c r="F60" s="93"/>
      <c r="G60" s="93"/>
      <c r="H60" s="93"/>
      <c r="I60" s="91"/>
      <c r="J60" s="91"/>
      <c r="K60" s="91"/>
      <c r="L60" s="91"/>
    </row>
    <row r="61" spans="1:12" ht="20.25" customHeight="1">
      <c r="A61" s="98" t="s">
        <v>276</v>
      </c>
      <c r="B61" s="102" t="s">
        <v>334</v>
      </c>
      <c r="C61" s="99">
        <f t="shared" si="2"/>
        <v>418</v>
      </c>
      <c r="D61" s="92"/>
      <c r="E61" s="99">
        <v>418</v>
      </c>
      <c r="F61" s="93"/>
      <c r="G61" s="93"/>
      <c r="H61" s="93"/>
      <c r="I61" s="91"/>
      <c r="J61" s="91"/>
      <c r="K61" s="91"/>
      <c r="L61" s="91"/>
    </row>
    <row r="62" spans="1:12" ht="19.5" customHeight="1">
      <c r="A62" s="100" t="s">
        <v>277</v>
      </c>
      <c r="B62" s="101" t="s">
        <v>279</v>
      </c>
      <c r="C62" s="91">
        <f t="shared" si="2"/>
        <v>20998</v>
      </c>
      <c r="D62" s="92">
        <f>SUM(D63:D64)</f>
        <v>0</v>
      </c>
      <c r="E62" s="92">
        <f>SUM(E63:E64)</f>
        <v>20998</v>
      </c>
      <c r="F62" s="92">
        <f>SUM(F63:F64)</f>
        <v>0</v>
      </c>
      <c r="G62" s="92">
        <f>SUM(G63:G64)</f>
        <v>0</v>
      </c>
      <c r="H62" s="92">
        <f>SUM(H63:H64)</f>
        <v>0</v>
      </c>
      <c r="I62" s="91">
        <f>SUM(I63:I64)</f>
        <v>0</v>
      </c>
      <c r="J62" s="91">
        <f>SUM(J63:J64)</f>
        <v>0</v>
      </c>
      <c r="K62" s="91">
        <f>SUM(K63:K64)</f>
        <v>0</v>
      </c>
      <c r="L62" s="91">
        <f>SUM(L63:L64)</f>
        <v>0</v>
      </c>
    </row>
    <row r="63" spans="1:12" ht="30.75" customHeight="1">
      <c r="A63" s="98" t="s">
        <v>275</v>
      </c>
      <c r="B63" s="102" t="s">
        <v>280</v>
      </c>
      <c r="C63" s="99">
        <f t="shared" si="2"/>
        <v>20000</v>
      </c>
      <c r="D63" s="99"/>
      <c r="E63" s="99">
        <v>20000</v>
      </c>
      <c r="F63" s="93"/>
      <c r="G63" s="93"/>
      <c r="H63" s="93"/>
      <c r="I63" s="91"/>
      <c r="J63" s="91"/>
      <c r="K63" s="91"/>
      <c r="L63" s="91"/>
    </row>
    <row r="64" spans="1:12" ht="30.75" customHeight="1">
      <c r="A64" s="98" t="s">
        <v>275</v>
      </c>
      <c r="B64" s="102" t="s">
        <v>281</v>
      </c>
      <c r="C64" s="99">
        <f t="shared" si="2"/>
        <v>998</v>
      </c>
      <c r="D64" s="99"/>
      <c r="E64" s="99">
        <v>998</v>
      </c>
      <c r="F64" s="93"/>
      <c r="G64" s="93"/>
      <c r="H64" s="93"/>
      <c r="I64" s="91"/>
      <c r="J64" s="91"/>
      <c r="K64" s="91"/>
      <c r="L64" s="91"/>
    </row>
    <row r="65" spans="1:12" ht="19.5" customHeight="1">
      <c r="A65" s="98" t="s">
        <v>278</v>
      </c>
      <c r="B65" s="102" t="s">
        <v>283</v>
      </c>
      <c r="C65" s="99">
        <f t="shared" si="2"/>
        <v>478</v>
      </c>
      <c r="D65" s="99"/>
      <c r="E65" s="99">
        <v>478</v>
      </c>
      <c r="F65" s="93"/>
      <c r="G65" s="93"/>
      <c r="H65" s="93"/>
      <c r="I65" s="91"/>
      <c r="J65" s="91"/>
      <c r="K65" s="91"/>
      <c r="L65" s="91"/>
    </row>
    <row r="66" spans="1:12" ht="19.5" customHeight="1">
      <c r="A66" s="98" t="s">
        <v>282</v>
      </c>
      <c r="B66" s="102" t="s">
        <v>285</v>
      </c>
      <c r="C66" s="99">
        <f t="shared" si="2"/>
        <v>100</v>
      </c>
      <c r="D66" s="99"/>
      <c r="E66" s="99">
        <v>100</v>
      </c>
      <c r="F66" s="93"/>
      <c r="G66" s="93"/>
      <c r="H66" s="93"/>
      <c r="I66" s="91"/>
      <c r="J66" s="91"/>
      <c r="K66" s="91"/>
      <c r="L66" s="91"/>
    </row>
    <row r="67" spans="1:12" ht="19.5" customHeight="1">
      <c r="A67" s="98" t="s">
        <v>284</v>
      </c>
      <c r="B67" s="102" t="s">
        <v>287</v>
      </c>
      <c r="C67" s="99">
        <f t="shared" si="2"/>
        <v>1100</v>
      </c>
      <c r="D67" s="99"/>
      <c r="E67" s="99">
        <v>1100</v>
      </c>
      <c r="F67" s="93"/>
      <c r="G67" s="93"/>
      <c r="H67" s="93"/>
      <c r="I67" s="91"/>
      <c r="J67" s="91"/>
      <c r="K67" s="91"/>
      <c r="L67" s="91"/>
    </row>
    <row r="68" spans="1:12" ht="30.75" customHeight="1">
      <c r="A68" s="98" t="s">
        <v>286</v>
      </c>
      <c r="B68" s="102" t="s">
        <v>335</v>
      </c>
      <c r="C68" s="99">
        <f t="shared" si="2"/>
        <v>1050</v>
      </c>
      <c r="D68" s="99"/>
      <c r="E68" s="99">
        <v>1050</v>
      </c>
      <c r="F68" s="93"/>
      <c r="G68" s="93"/>
      <c r="H68" s="93"/>
      <c r="I68" s="91"/>
      <c r="J68" s="91"/>
      <c r="K68" s="91"/>
      <c r="L68" s="91"/>
    </row>
    <row r="69" spans="1:12" ht="19.5" customHeight="1">
      <c r="A69" s="98" t="s">
        <v>288</v>
      </c>
      <c r="B69" s="102" t="s">
        <v>290</v>
      </c>
      <c r="C69" s="99">
        <f t="shared" si="2"/>
        <v>940</v>
      </c>
      <c r="D69" s="99"/>
      <c r="E69" s="99">
        <v>940</v>
      </c>
      <c r="F69" s="93"/>
      <c r="G69" s="93"/>
      <c r="H69" s="93"/>
      <c r="I69" s="91"/>
      <c r="J69" s="91"/>
      <c r="K69" s="91"/>
      <c r="L69" s="91"/>
    </row>
    <row r="70" spans="1:12" ht="19.5" customHeight="1">
      <c r="A70" s="98" t="s">
        <v>289</v>
      </c>
      <c r="B70" s="102" t="s">
        <v>292</v>
      </c>
      <c r="C70" s="99">
        <f t="shared" si="2"/>
        <v>847</v>
      </c>
      <c r="D70" s="99">
        <v>567</v>
      </c>
      <c r="E70" s="99">
        <v>280</v>
      </c>
      <c r="F70" s="93"/>
      <c r="G70" s="93"/>
      <c r="H70" s="93"/>
      <c r="I70" s="91"/>
      <c r="J70" s="91"/>
      <c r="K70" s="91"/>
      <c r="L70" s="91"/>
    </row>
    <row r="71" spans="1:12" ht="37.5" customHeight="1">
      <c r="A71" s="98" t="s">
        <v>346</v>
      </c>
      <c r="B71" s="102" t="s">
        <v>293</v>
      </c>
      <c r="C71" s="99">
        <f t="shared" si="2"/>
        <v>14000</v>
      </c>
      <c r="D71" s="99">
        <v>14000</v>
      </c>
      <c r="E71" s="99"/>
      <c r="F71" s="99"/>
      <c r="G71" s="99"/>
      <c r="H71" s="99"/>
      <c r="I71" s="99"/>
      <c r="J71" s="99"/>
      <c r="K71" s="99"/>
      <c r="L71" s="91"/>
    </row>
    <row r="72" spans="1:12" ht="27" customHeight="1">
      <c r="A72" s="98" t="s">
        <v>347</v>
      </c>
      <c r="B72" s="102" t="s">
        <v>345</v>
      </c>
      <c r="C72" s="99">
        <f t="shared" si="2"/>
        <v>38463</v>
      </c>
      <c r="D72" s="99">
        <f>39030-567</f>
        <v>38463</v>
      </c>
      <c r="E72" s="92"/>
      <c r="F72" s="93"/>
      <c r="G72" s="93"/>
      <c r="H72" s="93"/>
      <c r="I72" s="91"/>
      <c r="J72" s="91"/>
      <c r="K72" s="91"/>
      <c r="L72" s="91"/>
    </row>
    <row r="73" spans="1:12" ht="30.75" customHeight="1">
      <c r="A73" s="98" t="s">
        <v>348</v>
      </c>
      <c r="B73" s="102" t="s">
        <v>337</v>
      </c>
      <c r="C73" s="99">
        <f t="shared" si="2"/>
        <v>30075</v>
      </c>
      <c r="D73" s="99">
        <v>30075</v>
      </c>
      <c r="E73" s="92"/>
      <c r="F73" s="93"/>
      <c r="G73" s="93"/>
      <c r="H73" s="93"/>
      <c r="I73" s="91"/>
      <c r="J73" s="91"/>
      <c r="K73" s="91"/>
      <c r="L73" s="91"/>
    </row>
    <row r="74" spans="1:12" ht="22.5" customHeight="1">
      <c r="A74" s="98">
        <v>44</v>
      </c>
      <c r="B74" s="102" t="s">
        <v>291</v>
      </c>
      <c r="C74" s="99">
        <f t="shared" si="2"/>
        <v>1500</v>
      </c>
      <c r="D74" s="99"/>
      <c r="E74" s="99">
        <v>1500</v>
      </c>
      <c r="F74" s="93"/>
      <c r="G74" s="93"/>
      <c r="H74" s="93"/>
      <c r="I74" s="91"/>
      <c r="J74" s="91"/>
      <c r="K74" s="91"/>
      <c r="L74" s="91"/>
    </row>
    <row r="75" spans="1:12" ht="19.5" customHeight="1">
      <c r="A75" s="81" t="s">
        <v>11</v>
      </c>
      <c r="B75" s="84" t="s">
        <v>120</v>
      </c>
      <c r="C75" s="104">
        <f t="shared" si="2"/>
        <v>13382</v>
      </c>
      <c r="D75" s="104"/>
      <c r="E75" s="104"/>
      <c r="F75" s="104">
        <v>13382</v>
      </c>
      <c r="G75" s="104"/>
      <c r="H75" s="104"/>
      <c r="I75" s="104"/>
      <c r="J75" s="104"/>
      <c r="K75" s="104"/>
      <c r="L75" s="104"/>
    </row>
    <row r="76" spans="1:12" ht="36" customHeight="1">
      <c r="A76" s="81" t="s">
        <v>15</v>
      </c>
      <c r="B76" s="84" t="s">
        <v>121</v>
      </c>
      <c r="C76" s="83">
        <f t="shared" si="2"/>
        <v>0</v>
      </c>
      <c r="D76" s="105"/>
      <c r="E76" s="105"/>
      <c r="F76" s="106"/>
      <c r="G76" s="106"/>
      <c r="H76" s="106"/>
      <c r="I76" s="105"/>
      <c r="J76" s="105"/>
      <c r="K76" s="105"/>
      <c r="L76" s="105"/>
    </row>
    <row r="77" spans="1:12" ht="36" customHeight="1">
      <c r="A77" s="81" t="s">
        <v>17</v>
      </c>
      <c r="B77" s="84" t="s">
        <v>131</v>
      </c>
      <c r="C77" s="104">
        <f t="shared" si="2"/>
        <v>19817</v>
      </c>
      <c r="D77" s="104"/>
      <c r="E77" s="104"/>
      <c r="F77" s="104"/>
      <c r="G77" s="104">
        <v>19817</v>
      </c>
      <c r="H77" s="104"/>
      <c r="I77" s="104"/>
      <c r="J77" s="104"/>
      <c r="K77" s="104"/>
      <c r="L77" s="104"/>
    </row>
    <row r="78" spans="1:12" ht="36" customHeight="1">
      <c r="A78" s="81" t="s">
        <v>132</v>
      </c>
      <c r="B78" s="84" t="s">
        <v>123</v>
      </c>
      <c r="C78" s="83">
        <f t="shared" si="2"/>
        <v>0</v>
      </c>
      <c r="D78" s="105"/>
      <c r="E78" s="105"/>
      <c r="F78" s="106"/>
      <c r="G78" s="106"/>
      <c r="H78" s="106"/>
      <c r="I78" s="105"/>
      <c r="J78" s="105"/>
      <c r="K78" s="105"/>
      <c r="L78" s="105"/>
    </row>
  </sheetData>
  <sheetProtection/>
  <mergeCells count="15">
    <mergeCell ref="A1:C1"/>
    <mergeCell ref="J1:L1"/>
    <mergeCell ref="A3:L3"/>
    <mergeCell ref="A4:L4"/>
    <mergeCell ref="H7:H8"/>
    <mergeCell ref="I7:K7"/>
    <mergeCell ref="L7:L8"/>
    <mergeCell ref="A7:A8"/>
    <mergeCell ref="B7:B8"/>
    <mergeCell ref="C7:C8"/>
    <mergeCell ref="D7:D8"/>
    <mergeCell ref="E7:E8"/>
    <mergeCell ref="F7:F8"/>
    <mergeCell ref="J6:L6"/>
    <mergeCell ref="G7:G8"/>
  </mergeCells>
  <printOptions/>
  <pageMargins left="0.2362204724409449" right="0.1968503937007874" top="0.3937007874015748" bottom="0.2755905511811024" header="0.1968503937007874" footer="0.196850393700787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O24"/>
  <sheetViews>
    <sheetView zoomScalePageLayoutView="0" workbookViewId="0" topLeftCell="A16">
      <selection activeCell="M29" sqref="M29"/>
    </sheetView>
  </sheetViews>
  <sheetFormatPr defaultColWidth="9.00390625" defaultRowHeight="15"/>
  <cols>
    <col min="1" max="1" width="6.00390625" style="78" customWidth="1"/>
    <col min="2" max="2" width="30.28125" style="78" customWidth="1"/>
    <col min="3" max="3" width="10.8515625" style="78" bestFit="1" customWidth="1"/>
    <col min="4" max="4" width="9.8515625" style="78" bestFit="1" customWidth="1"/>
    <col min="5" max="5" width="9.00390625" style="78" customWidth="1"/>
    <col min="6" max="8" width="9.140625" style="78" bestFit="1" customWidth="1"/>
    <col min="9" max="9" width="9.421875" style="78" customWidth="1"/>
    <col min="10" max="10" width="9.8515625" style="78" bestFit="1" customWidth="1"/>
    <col min="11" max="12" width="9.00390625" style="78" hidden="1" customWidth="1"/>
    <col min="13" max="13" width="10.421875" style="78" customWidth="1"/>
    <col min="14" max="14" width="9.00390625" style="78" customWidth="1"/>
    <col min="15" max="15" width="9.140625" style="78" bestFit="1" customWidth="1"/>
    <col min="16" max="16384" width="9.00390625" style="78" customWidth="1"/>
  </cols>
  <sheetData>
    <row r="1" spans="1:15" ht="33.75" customHeight="1">
      <c r="A1" s="237" t="s">
        <v>316</v>
      </c>
      <c r="B1" s="237"/>
      <c r="C1" s="237"/>
      <c r="L1" s="236" t="s">
        <v>133</v>
      </c>
      <c r="M1" s="236"/>
      <c r="N1" s="236"/>
      <c r="O1" s="236"/>
    </row>
    <row r="2" ht="12.75">
      <c r="A2" s="79"/>
    </row>
    <row r="3" spans="1:15" ht="21.75" customHeight="1">
      <c r="A3" s="248" t="s">
        <v>815</v>
      </c>
      <c r="B3" s="248"/>
      <c r="C3" s="248"/>
      <c r="D3" s="248"/>
      <c r="E3" s="248"/>
      <c r="F3" s="248"/>
      <c r="G3" s="248"/>
      <c r="H3" s="248"/>
      <c r="I3" s="248"/>
      <c r="J3" s="248"/>
      <c r="K3" s="248"/>
      <c r="L3" s="248"/>
      <c r="M3" s="248"/>
      <c r="N3" s="248"/>
      <c r="O3" s="248"/>
    </row>
    <row r="4" spans="1:15" ht="21.75" customHeight="1">
      <c r="A4" s="238" t="s">
        <v>1</v>
      </c>
      <c r="B4" s="238"/>
      <c r="C4" s="238"/>
      <c r="D4" s="238"/>
      <c r="E4" s="238"/>
      <c r="F4" s="238"/>
      <c r="G4" s="238"/>
      <c r="H4" s="238"/>
      <c r="I4" s="238"/>
      <c r="J4" s="238"/>
      <c r="K4" s="238"/>
      <c r="L4" s="238"/>
      <c r="M4" s="238"/>
      <c r="N4" s="238"/>
      <c r="O4" s="238"/>
    </row>
    <row r="5" spans="1:15" ht="21.75" customHeight="1">
      <c r="A5" s="80"/>
      <c r="B5" s="80"/>
      <c r="C5" s="80"/>
      <c r="D5" s="80"/>
      <c r="E5" s="80"/>
      <c r="F5" s="80"/>
      <c r="G5" s="80"/>
      <c r="H5" s="80"/>
      <c r="I5" s="80"/>
      <c r="J5" s="80"/>
      <c r="K5" s="80"/>
      <c r="L5" s="80"/>
      <c r="M5" s="80"/>
      <c r="N5" s="80"/>
      <c r="O5" s="80"/>
    </row>
    <row r="6" spans="12:15" ht="12.75">
      <c r="L6" s="239" t="s">
        <v>31</v>
      </c>
      <c r="M6" s="239"/>
      <c r="N6" s="239"/>
      <c r="O6" s="239"/>
    </row>
    <row r="7" spans="1:15" ht="20.25" customHeight="1">
      <c r="A7" s="242" t="s">
        <v>2</v>
      </c>
      <c r="B7" s="242" t="s">
        <v>116</v>
      </c>
      <c r="C7" s="242" t="s">
        <v>124</v>
      </c>
      <c r="D7" s="245" t="s">
        <v>134</v>
      </c>
      <c r="E7" s="246"/>
      <c r="F7" s="246"/>
      <c r="G7" s="246"/>
      <c r="H7" s="246"/>
      <c r="I7" s="246"/>
      <c r="J7" s="246"/>
      <c r="K7" s="246"/>
      <c r="L7" s="246"/>
      <c r="M7" s="246"/>
      <c r="N7" s="246"/>
      <c r="O7" s="247"/>
    </row>
    <row r="8" spans="1:15" ht="20.25" customHeight="1">
      <c r="A8" s="243"/>
      <c r="B8" s="243"/>
      <c r="C8" s="243"/>
      <c r="D8" s="242" t="s">
        <v>135</v>
      </c>
      <c r="E8" s="242" t="s">
        <v>136</v>
      </c>
      <c r="F8" s="242" t="s">
        <v>137</v>
      </c>
      <c r="G8" s="242" t="s">
        <v>340</v>
      </c>
      <c r="H8" s="242" t="s">
        <v>138</v>
      </c>
      <c r="I8" s="242" t="s">
        <v>139</v>
      </c>
      <c r="J8" s="242" t="s">
        <v>140</v>
      </c>
      <c r="K8" s="245" t="s">
        <v>134</v>
      </c>
      <c r="L8" s="247"/>
      <c r="M8" s="242" t="s">
        <v>141</v>
      </c>
      <c r="N8" s="242" t="s">
        <v>303</v>
      </c>
      <c r="O8" s="242" t="s">
        <v>142</v>
      </c>
    </row>
    <row r="9" spans="1:15" ht="120.75" customHeight="1">
      <c r="A9" s="244"/>
      <c r="B9" s="244"/>
      <c r="C9" s="244"/>
      <c r="D9" s="244"/>
      <c r="E9" s="244"/>
      <c r="F9" s="244"/>
      <c r="G9" s="244"/>
      <c r="H9" s="244"/>
      <c r="I9" s="244"/>
      <c r="J9" s="244"/>
      <c r="K9" s="81" t="s">
        <v>143</v>
      </c>
      <c r="L9" s="81" t="s">
        <v>144</v>
      </c>
      <c r="M9" s="244"/>
      <c r="N9" s="244"/>
      <c r="O9" s="244"/>
    </row>
    <row r="10" spans="1:15" ht="12.75">
      <c r="A10" s="82" t="s">
        <v>6</v>
      </c>
      <c r="B10" s="82" t="s">
        <v>7</v>
      </c>
      <c r="C10" s="82">
        <v>1</v>
      </c>
      <c r="D10" s="82">
        <v>2</v>
      </c>
      <c r="E10" s="82">
        <v>3</v>
      </c>
      <c r="F10" s="82">
        <v>5</v>
      </c>
      <c r="G10" s="82">
        <v>6</v>
      </c>
      <c r="H10" s="82">
        <v>7</v>
      </c>
      <c r="I10" s="82">
        <v>8</v>
      </c>
      <c r="J10" s="82">
        <v>9</v>
      </c>
      <c r="K10" s="82">
        <v>10</v>
      </c>
      <c r="L10" s="82">
        <v>11</v>
      </c>
      <c r="M10" s="82">
        <v>12</v>
      </c>
      <c r="N10" s="82">
        <v>13</v>
      </c>
      <c r="O10" s="82">
        <v>14</v>
      </c>
    </row>
    <row r="11" spans="1:15" ht="22.5" customHeight="1">
      <c r="A11" s="107"/>
      <c r="B11" s="107" t="s">
        <v>124</v>
      </c>
      <c r="C11" s="108">
        <f>SUM(D11:O11)+59+369</f>
        <v>283440</v>
      </c>
      <c r="D11" s="108">
        <f>SUM(D13:D20)</f>
        <v>32844</v>
      </c>
      <c r="E11" s="108">
        <f aca="true" t="shared" si="0" ref="E11:O11">SUM(E13:E20)</f>
        <v>567</v>
      </c>
      <c r="F11" s="108">
        <f t="shared" si="0"/>
        <v>1771</v>
      </c>
      <c r="G11" s="108">
        <f t="shared" si="0"/>
        <v>0</v>
      </c>
      <c r="H11" s="108">
        <f t="shared" si="0"/>
        <v>1306</v>
      </c>
      <c r="I11" s="108">
        <f t="shared" si="0"/>
        <v>905</v>
      </c>
      <c r="J11" s="108">
        <f t="shared" si="0"/>
        <v>159293</v>
      </c>
      <c r="K11" s="108">
        <f t="shared" si="0"/>
        <v>0</v>
      </c>
      <c r="L11" s="108">
        <f t="shared" si="0"/>
        <v>0</v>
      </c>
      <c r="M11" s="108">
        <f t="shared" si="0"/>
        <v>3513</v>
      </c>
      <c r="N11" s="108">
        <f t="shared" si="0"/>
        <v>82538</v>
      </c>
      <c r="O11" s="108">
        <f t="shared" si="0"/>
        <v>275</v>
      </c>
    </row>
    <row r="12" spans="1:15" ht="20.25" customHeight="1">
      <c r="A12" s="107"/>
      <c r="B12" s="109" t="s">
        <v>87</v>
      </c>
      <c r="C12" s="108"/>
      <c r="D12" s="108"/>
      <c r="E12" s="108"/>
      <c r="F12" s="108"/>
      <c r="G12" s="108"/>
      <c r="H12" s="108"/>
      <c r="I12" s="108"/>
      <c r="J12" s="108"/>
      <c r="K12" s="108"/>
      <c r="L12" s="108"/>
      <c r="M12" s="108"/>
      <c r="N12" s="108"/>
      <c r="O12" s="108"/>
    </row>
    <row r="13" spans="1:15" ht="22.5" customHeight="1">
      <c r="A13" s="110">
        <v>1</v>
      </c>
      <c r="B13" s="111" t="s">
        <v>238</v>
      </c>
      <c r="C13" s="99">
        <f>SUM(D13:O13)</f>
        <v>15114</v>
      </c>
      <c r="D13" s="99"/>
      <c r="E13" s="99"/>
      <c r="F13" s="99"/>
      <c r="G13" s="99"/>
      <c r="H13" s="99"/>
      <c r="I13" s="99">
        <v>112</v>
      </c>
      <c r="J13" s="99">
        <f>863+7263+700+6000</f>
        <v>14826</v>
      </c>
      <c r="K13" s="99"/>
      <c r="L13" s="99"/>
      <c r="M13" s="99">
        <v>176</v>
      </c>
      <c r="N13" s="99"/>
      <c r="O13" s="99"/>
    </row>
    <row r="14" spans="1:15" ht="22.5" customHeight="1">
      <c r="A14" s="110">
        <v>2</v>
      </c>
      <c r="B14" s="111" t="s">
        <v>239</v>
      </c>
      <c r="C14" s="99">
        <f aca="true" t="shared" si="1" ref="C14:C24">SUM(D14:O14)</f>
        <v>0</v>
      </c>
      <c r="D14" s="99"/>
      <c r="E14" s="99"/>
      <c r="F14" s="99"/>
      <c r="G14" s="99"/>
      <c r="H14" s="99"/>
      <c r="I14" s="99"/>
      <c r="J14" s="99"/>
      <c r="K14" s="99"/>
      <c r="L14" s="99"/>
      <c r="M14" s="99"/>
      <c r="N14" s="99"/>
      <c r="O14" s="99"/>
    </row>
    <row r="15" spans="1:15" ht="22.5" customHeight="1">
      <c r="A15" s="110">
        <v>3</v>
      </c>
      <c r="B15" s="111" t="s">
        <v>366</v>
      </c>
      <c r="C15" s="99">
        <f t="shared" si="1"/>
        <v>5241</v>
      </c>
      <c r="D15" s="99">
        <f>1141+2600+1500</f>
        <v>5241</v>
      </c>
      <c r="E15" s="99"/>
      <c r="F15" s="99"/>
      <c r="G15" s="99"/>
      <c r="H15" s="99"/>
      <c r="I15" s="99"/>
      <c r="J15" s="99"/>
      <c r="K15" s="99"/>
      <c r="L15" s="99"/>
      <c r="M15" s="99"/>
      <c r="N15" s="99"/>
      <c r="O15" s="99"/>
    </row>
    <row r="16" spans="1:15" ht="22.5" customHeight="1">
      <c r="A16" s="110">
        <v>4</v>
      </c>
      <c r="B16" s="111" t="s">
        <v>243</v>
      </c>
      <c r="C16" s="99">
        <f t="shared" si="1"/>
        <v>0</v>
      </c>
      <c r="D16" s="99"/>
      <c r="E16" s="99"/>
      <c r="F16" s="99"/>
      <c r="G16" s="99"/>
      <c r="H16" s="99"/>
      <c r="I16" s="99"/>
      <c r="J16" s="99"/>
      <c r="K16" s="99"/>
      <c r="L16" s="99"/>
      <c r="M16" s="99"/>
      <c r="N16" s="99"/>
      <c r="O16" s="99"/>
    </row>
    <row r="17" spans="1:15" ht="34.5" customHeight="1">
      <c r="A17" s="110">
        <v>5</v>
      </c>
      <c r="B17" s="111" t="s">
        <v>250</v>
      </c>
      <c r="C17" s="99">
        <f t="shared" si="1"/>
        <v>1618</v>
      </c>
      <c r="D17" s="99"/>
      <c r="E17" s="99"/>
      <c r="F17" s="99">
        <v>343</v>
      </c>
      <c r="G17" s="99"/>
      <c r="H17" s="99">
        <v>306</v>
      </c>
      <c r="I17" s="99"/>
      <c r="J17" s="99">
        <f>369+600</f>
        <v>969</v>
      </c>
      <c r="K17" s="99"/>
      <c r="L17" s="99"/>
      <c r="M17" s="99"/>
      <c r="N17" s="99"/>
      <c r="O17" s="99"/>
    </row>
    <row r="18" spans="1:15" ht="22.5" customHeight="1">
      <c r="A18" s="110">
        <v>6</v>
      </c>
      <c r="B18" s="111" t="s">
        <v>271</v>
      </c>
      <c r="C18" s="99">
        <f t="shared" si="1"/>
        <v>177784</v>
      </c>
      <c r="D18" s="99">
        <f>2053+6400+2500+16650</f>
        <v>27603</v>
      </c>
      <c r="E18" s="99"/>
      <c r="F18" s="99">
        <f>1228+200</f>
        <v>1428</v>
      </c>
      <c r="G18" s="99"/>
      <c r="H18" s="99">
        <f>1000</f>
        <v>1000</v>
      </c>
      <c r="I18" s="99">
        <v>793</v>
      </c>
      <c r="J18" s="99">
        <f>6452+15988+97408+23500</f>
        <v>143348</v>
      </c>
      <c r="K18" s="99"/>
      <c r="L18" s="99"/>
      <c r="M18" s="99">
        <f>347+2990</f>
        <v>3337</v>
      </c>
      <c r="N18" s="99"/>
      <c r="O18" s="99">
        <v>275</v>
      </c>
    </row>
    <row r="19" spans="1:15" ht="22.5" customHeight="1">
      <c r="A19" s="110">
        <v>7</v>
      </c>
      <c r="B19" s="111" t="s">
        <v>339</v>
      </c>
      <c r="C19" s="99">
        <f t="shared" si="1"/>
        <v>150</v>
      </c>
      <c r="D19" s="99"/>
      <c r="E19" s="99"/>
      <c r="F19" s="99"/>
      <c r="G19" s="99"/>
      <c r="H19" s="99"/>
      <c r="I19" s="99"/>
      <c r="J19" s="99">
        <v>150</v>
      </c>
      <c r="K19" s="99"/>
      <c r="L19" s="99"/>
      <c r="M19" s="99"/>
      <c r="N19" s="99"/>
      <c r="O19" s="99"/>
    </row>
    <row r="20" spans="1:15" ht="22.5" customHeight="1">
      <c r="A20" s="110">
        <v>8</v>
      </c>
      <c r="B20" s="111" t="s">
        <v>272</v>
      </c>
      <c r="C20" s="99">
        <f t="shared" si="1"/>
        <v>83105</v>
      </c>
      <c r="D20" s="99">
        <f>SUM(D21:D24)</f>
        <v>0</v>
      </c>
      <c r="E20" s="99">
        <f aca="true" t="shared" si="2" ref="E20:O20">SUM(E21:E24)</f>
        <v>567</v>
      </c>
      <c r="F20" s="99">
        <f t="shared" si="2"/>
        <v>0</v>
      </c>
      <c r="G20" s="99">
        <f t="shared" si="2"/>
        <v>0</v>
      </c>
      <c r="H20" s="99">
        <f t="shared" si="2"/>
        <v>0</v>
      </c>
      <c r="I20" s="99">
        <f t="shared" si="2"/>
        <v>0</v>
      </c>
      <c r="J20" s="99">
        <f t="shared" si="2"/>
        <v>0</v>
      </c>
      <c r="K20" s="99">
        <f t="shared" si="2"/>
        <v>0</v>
      </c>
      <c r="L20" s="99">
        <f t="shared" si="2"/>
        <v>0</v>
      </c>
      <c r="M20" s="99">
        <f t="shared" si="2"/>
        <v>0</v>
      </c>
      <c r="N20" s="99">
        <f t="shared" si="2"/>
        <v>82538</v>
      </c>
      <c r="O20" s="99">
        <f t="shared" si="2"/>
        <v>0</v>
      </c>
    </row>
    <row r="21" spans="1:15" s="115" customFormat="1" ht="22.5" customHeight="1">
      <c r="A21" s="144" t="s">
        <v>341</v>
      </c>
      <c r="B21" s="145" t="s">
        <v>292</v>
      </c>
      <c r="C21" s="114">
        <f t="shared" si="1"/>
        <v>567</v>
      </c>
      <c r="D21" s="114"/>
      <c r="E21" s="114">
        <v>567</v>
      </c>
      <c r="F21" s="114"/>
      <c r="G21" s="114"/>
      <c r="H21" s="114"/>
      <c r="I21" s="114"/>
      <c r="J21" s="114"/>
      <c r="K21" s="114"/>
      <c r="L21" s="114"/>
      <c r="M21" s="114"/>
      <c r="N21" s="114"/>
      <c r="O21" s="114"/>
    </row>
    <row r="22" spans="1:15" s="115" customFormat="1" ht="36" customHeight="1">
      <c r="A22" s="146" t="s">
        <v>342</v>
      </c>
      <c r="B22" s="147" t="s">
        <v>293</v>
      </c>
      <c r="C22" s="148">
        <f t="shared" si="1"/>
        <v>14000</v>
      </c>
      <c r="D22" s="148"/>
      <c r="E22" s="148"/>
      <c r="F22" s="148"/>
      <c r="G22" s="148"/>
      <c r="H22" s="148"/>
      <c r="I22" s="148"/>
      <c r="J22" s="148"/>
      <c r="K22" s="148"/>
      <c r="L22" s="148"/>
      <c r="M22" s="148"/>
      <c r="N22" s="148">
        <v>14000</v>
      </c>
      <c r="O22" s="148"/>
    </row>
    <row r="23" spans="1:15" s="115" customFormat="1" ht="36" customHeight="1">
      <c r="A23" s="187" t="s">
        <v>343</v>
      </c>
      <c r="B23" s="188" t="s">
        <v>336</v>
      </c>
      <c r="C23" s="189">
        <f t="shared" si="1"/>
        <v>38463</v>
      </c>
      <c r="D23" s="189"/>
      <c r="E23" s="189"/>
      <c r="F23" s="189"/>
      <c r="G23" s="189"/>
      <c r="H23" s="189"/>
      <c r="I23" s="189"/>
      <c r="J23" s="189"/>
      <c r="K23" s="189"/>
      <c r="L23" s="189"/>
      <c r="M23" s="189"/>
      <c r="N23" s="189">
        <v>38463</v>
      </c>
      <c r="O23" s="189"/>
    </row>
    <row r="24" spans="1:15" s="115" customFormat="1" ht="36" customHeight="1">
      <c r="A24" s="146" t="s">
        <v>344</v>
      </c>
      <c r="B24" s="147" t="s">
        <v>337</v>
      </c>
      <c r="C24" s="148">
        <f t="shared" si="1"/>
        <v>30075</v>
      </c>
      <c r="D24" s="148"/>
      <c r="E24" s="148"/>
      <c r="F24" s="148"/>
      <c r="G24" s="148"/>
      <c r="H24" s="148"/>
      <c r="I24" s="148"/>
      <c r="J24" s="148"/>
      <c r="K24" s="148"/>
      <c r="L24" s="148"/>
      <c r="M24" s="148"/>
      <c r="N24" s="148">
        <v>30075</v>
      </c>
      <c r="O24" s="148"/>
    </row>
  </sheetData>
  <sheetProtection/>
  <mergeCells count="20">
    <mergeCell ref="L6:O6"/>
    <mergeCell ref="A3:O3"/>
    <mergeCell ref="A4:O4"/>
    <mergeCell ref="L1:O1"/>
    <mergeCell ref="A1:C1"/>
    <mergeCell ref="A7:A9"/>
    <mergeCell ref="B7:B9"/>
    <mergeCell ref="C7:C9"/>
    <mergeCell ref="D7:O7"/>
    <mergeCell ref="D8:D9"/>
    <mergeCell ref="E8:E9"/>
    <mergeCell ref="F8:F9"/>
    <mergeCell ref="G8:G9"/>
    <mergeCell ref="H8:H9"/>
    <mergeCell ref="I8:I9"/>
    <mergeCell ref="J8:J9"/>
    <mergeCell ref="K8:L8"/>
    <mergeCell ref="M8:M9"/>
    <mergeCell ref="O8:O9"/>
    <mergeCell ref="N8:N9"/>
  </mergeCells>
  <printOptions/>
  <pageMargins left="0.7086614173228347" right="0.1968503937007874" top="0.4724409448818898" bottom="0.2362204724409449" header="0.31496062992125984" footer="0.1968503937007874"/>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Q70"/>
  <sheetViews>
    <sheetView zoomScalePageLayoutView="0" workbookViewId="0" topLeftCell="A67">
      <selection activeCell="A3" sqref="A3:Q3"/>
    </sheetView>
  </sheetViews>
  <sheetFormatPr defaultColWidth="9.00390625" defaultRowHeight="15"/>
  <cols>
    <col min="1" max="1" width="6.00390625" style="78" customWidth="1"/>
    <col min="2" max="2" width="35.421875" style="78" customWidth="1"/>
    <col min="3" max="4" width="9.7109375" style="78" customWidth="1"/>
    <col min="5" max="5" width="6.8515625" style="78" customWidth="1"/>
    <col min="6" max="6" width="8.140625" style="78" customWidth="1"/>
    <col min="7" max="7" width="7.7109375" style="78" customWidth="1"/>
    <col min="8" max="8" width="8.57421875" style="78" customWidth="1"/>
    <col min="9" max="10" width="7.8515625" style="78" customWidth="1"/>
    <col min="11" max="11" width="8.28125" style="78" customWidth="1"/>
    <col min="12" max="12" width="7.421875" style="78" customWidth="1"/>
    <col min="13" max="13" width="8.421875" style="78" customWidth="1"/>
    <col min="14" max="14" width="10.421875" style="78" customWidth="1"/>
    <col min="15" max="15" width="9.00390625" style="78" customWidth="1"/>
    <col min="16" max="16" width="7.28125" style="78" customWidth="1"/>
    <col min="17" max="17" width="9.00390625" style="78" customWidth="1"/>
    <col min="18" max="16384" width="9.00390625" style="78" customWidth="1"/>
  </cols>
  <sheetData>
    <row r="1" spans="1:17" ht="24" customHeight="1">
      <c r="A1" s="237" t="s">
        <v>316</v>
      </c>
      <c r="B1" s="237"/>
      <c r="C1" s="237"/>
      <c r="K1" s="236" t="s">
        <v>145</v>
      </c>
      <c r="L1" s="236"/>
      <c r="M1" s="236"/>
      <c r="N1" s="236"/>
      <c r="O1" s="236"/>
      <c r="P1" s="236"/>
      <c r="Q1" s="236"/>
    </row>
    <row r="2" ht="12.75">
      <c r="A2" s="79"/>
    </row>
    <row r="3" spans="1:17" ht="18.75" customHeight="1">
      <c r="A3" s="248" t="s">
        <v>816</v>
      </c>
      <c r="B3" s="248"/>
      <c r="C3" s="248"/>
      <c r="D3" s="248"/>
      <c r="E3" s="248"/>
      <c r="F3" s="248"/>
      <c r="G3" s="248"/>
      <c r="H3" s="248"/>
      <c r="I3" s="248"/>
      <c r="J3" s="248"/>
      <c r="K3" s="248"/>
      <c r="L3" s="248"/>
      <c r="M3" s="248"/>
      <c r="N3" s="248"/>
      <c r="O3" s="248"/>
      <c r="P3" s="248"/>
      <c r="Q3" s="248"/>
    </row>
    <row r="4" spans="1:17" ht="12.75">
      <c r="A4" s="238" t="s">
        <v>1</v>
      </c>
      <c r="B4" s="238"/>
      <c r="C4" s="238"/>
      <c r="D4" s="238"/>
      <c r="E4" s="238"/>
      <c r="F4" s="238"/>
      <c r="G4" s="238"/>
      <c r="H4" s="238"/>
      <c r="I4" s="238"/>
      <c r="J4" s="238"/>
      <c r="K4" s="238"/>
      <c r="L4" s="238"/>
      <c r="M4" s="238"/>
      <c r="N4" s="238"/>
      <c r="O4" s="238"/>
      <c r="P4" s="238"/>
      <c r="Q4" s="238"/>
    </row>
    <row r="5" spans="1:17" ht="12.75">
      <c r="A5" s="80"/>
      <c r="B5" s="80"/>
      <c r="C5" s="80"/>
      <c r="D5" s="80"/>
      <c r="E5" s="80"/>
      <c r="F5" s="80"/>
      <c r="G5" s="80"/>
      <c r="H5" s="80"/>
      <c r="I5" s="80"/>
      <c r="J5" s="80"/>
      <c r="K5" s="80"/>
      <c r="L5" s="80"/>
      <c r="M5" s="80"/>
      <c r="N5" s="80"/>
      <c r="O5" s="80"/>
      <c r="P5" s="80"/>
      <c r="Q5" s="80"/>
    </row>
    <row r="6" spans="12:17" ht="12.75">
      <c r="L6" s="117"/>
      <c r="M6" s="117"/>
      <c r="N6" s="117"/>
      <c r="O6" s="117"/>
      <c r="P6" s="249" t="s">
        <v>31</v>
      </c>
      <c r="Q6" s="249"/>
    </row>
    <row r="7" spans="1:17" ht="15" customHeight="1">
      <c r="A7" s="242" t="s">
        <v>2</v>
      </c>
      <c r="B7" s="242" t="s">
        <v>116</v>
      </c>
      <c r="C7" s="242" t="s">
        <v>124</v>
      </c>
      <c r="D7" s="245" t="s">
        <v>134</v>
      </c>
      <c r="E7" s="246"/>
      <c r="F7" s="246"/>
      <c r="G7" s="246"/>
      <c r="H7" s="246"/>
      <c r="I7" s="246"/>
      <c r="J7" s="246"/>
      <c r="K7" s="246"/>
      <c r="L7" s="246"/>
      <c r="M7" s="246"/>
      <c r="N7" s="246"/>
      <c r="O7" s="246"/>
      <c r="P7" s="246"/>
      <c r="Q7" s="247"/>
    </row>
    <row r="8" spans="1:17" ht="15" customHeight="1">
      <c r="A8" s="243"/>
      <c r="B8" s="243"/>
      <c r="C8" s="243"/>
      <c r="D8" s="242" t="s">
        <v>135</v>
      </c>
      <c r="E8" s="242" t="s">
        <v>136</v>
      </c>
      <c r="F8" s="242" t="s">
        <v>302</v>
      </c>
      <c r="G8" s="242" t="s">
        <v>301</v>
      </c>
      <c r="H8" s="242" t="s">
        <v>139</v>
      </c>
      <c r="I8" s="242" t="s">
        <v>140</v>
      </c>
      <c r="J8" s="250" t="s">
        <v>134</v>
      </c>
      <c r="K8" s="251"/>
      <c r="L8" s="251"/>
      <c r="M8" s="252"/>
      <c r="N8" s="242" t="s">
        <v>141</v>
      </c>
      <c r="O8" s="242" t="s">
        <v>295</v>
      </c>
      <c r="P8" s="242" t="s">
        <v>296</v>
      </c>
      <c r="Q8" s="242" t="s">
        <v>142</v>
      </c>
    </row>
    <row r="9" spans="1:17" ht="109.5" customHeight="1">
      <c r="A9" s="244"/>
      <c r="B9" s="244"/>
      <c r="C9" s="244"/>
      <c r="D9" s="244"/>
      <c r="E9" s="244"/>
      <c r="F9" s="244"/>
      <c r="G9" s="244"/>
      <c r="H9" s="244"/>
      <c r="I9" s="244"/>
      <c r="J9" s="118" t="s">
        <v>297</v>
      </c>
      <c r="K9" s="118" t="s">
        <v>298</v>
      </c>
      <c r="L9" s="118" t="s">
        <v>299</v>
      </c>
      <c r="M9" s="118" t="s">
        <v>300</v>
      </c>
      <c r="N9" s="244"/>
      <c r="O9" s="244"/>
      <c r="P9" s="244"/>
      <c r="Q9" s="244"/>
    </row>
    <row r="10" spans="1:17" ht="12.75">
      <c r="A10" s="119" t="s">
        <v>6</v>
      </c>
      <c r="B10" s="119" t="s">
        <v>7</v>
      </c>
      <c r="C10" s="119">
        <v>1</v>
      </c>
      <c r="D10" s="119">
        <v>2</v>
      </c>
      <c r="E10" s="119">
        <v>3</v>
      </c>
      <c r="F10" s="119">
        <v>4</v>
      </c>
      <c r="G10" s="119">
        <v>5</v>
      </c>
      <c r="H10" s="119">
        <v>6</v>
      </c>
      <c r="I10" s="119">
        <v>7</v>
      </c>
      <c r="J10" s="119">
        <v>8</v>
      </c>
      <c r="K10" s="119">
        <v>9</v>
      </c>
      <c r="L10" s="119">
        <v>10</v>
      </c>
      <c r="M10" s="119">
        <v>11</v>
      </c>
      <c r="N10" s="119">
        <v>12</v>
      </c>
      <c r="O10" s="119">
        <v>13</v>
      </c>
      <c r="P10" s="119">
        <v>14</v>
      </c>
      <c r="Q10" s="119">
        <v>15</v>
      </c>
    </row>
    <row r="11" spans="1:17" ht="17.25" customHeight="1">
      <c r="A11" s="119"/>
      <c r="B11" s="119" t="s">
        <v>124</v>
      </c>
      <c r="C11" s="142">
        <f>SUM(C13:C55)+C70+4974</f>
        <v>467781</v>
      </c>
      <c r="D11" s="142">
        <f aca="true" t="shared" si="0" ref="D11:Q11">SUM(D13:D55)+D70</f>
        <v>310147</v>
      </c>
      <c r="E11" s="142">
        <f t="shared" si="0"/>
        <v>280</v>
      </c>
      <c r="F11" s="142">
        <f t="shared" si="0"/>
        <v>1113</v>
      </c>
      <c r="G11" s="142">
        <f t="shared" si="0"/>
        <v>4277</v>
      </c>
      <c r="H11" s="142">
        <f t="shared" si="0"/>
        <v>900</v>
      </c>
      <c r="I11" s="142">
        <f t="shared" si="0"/>
        <v>42302</v>
      </c>
      <c r="J11" s="142">
        <f t="shared" si="0"/>
        <v>2905</v>
      </c>
      <c r="K11" s="142">
        <f t="shared" si="0"/>
        <v>28959</v>
      </c>
      <c r="L11" s="142">
        <f t="shared" si="0"/>
        <v>1293</v>
      </c>
      <c r="M11" s="142">
        <f t="shared" si="0"/>
        <v>11300</v>
      </c>
      <c r="N11" s="142">
        <f t="shared" si="0"/>
        <v>32873</v>
      </c>
      <c r="O11" s="142">
        <f t="shared" si="0"/>
        <v>2710</v>
      </c>
      <c r="P11" s="142">
        <f t="shared" si="0"/>
        <v>940</v>
      </c>
      <c r="Q11" s="142">
        <f t="shared" si="0"/>
        <v>65110</v>
      </c>
    </row>
    <row r="12" spans="1:17" ht="17.25" customHeight="1">
      <c r="A12" s="107"/>
      <c r="B12" s="120" t="s">
        <v>162</v>
      </c>
      <c r="C12" s="107"/>
      <c r="D12" s="107"/>
      <c r="E12" s="107"/>
      <c r="F12" s="107"/>
      <c r="G12" s="107"/>
      <c r="H12" s="107"/>
      <c r="I12" s="107"/>
      <c r="J12" s="107"/>
      <c r="K12" s="107"/>
      <c r="L12" s="107"/>
      <c r="M12" s="107"/>
      <c r="N12" s="107"/>
      <c r="O12" s="107"/>
      <c r="P12" s="107"/>
      <c r="Q12" s="107"/>
    </row>
    <row r="13" spans="1:17" ht="20.25" customHeight="1">
      <c r="A13" s="98">
        <v>1</v>
      </c>
      <c r="B13" s="102" t="s">
        <v>323</v>
      </c>
      <c r="C13" s="99">
        <v>7299</v>
      </c>
      <c r="D13" s="99"/>
      <c r="E13" s="99"/>
      <c r="F13" s="99"/>
      <c r="G13" s="99"/>
      <c r="H13" s="99"/>
      <c r="I13" s="99"/>
      <c r="J13" s="99"/>
      <c r="K13" s="99"/>
      <c r="L13" s="99"/>
      <c r="M13" s="99"/>
      <c r="N13" s="99">
        <v>6799</v>
      </c>
      <c r="O13" s="99">
        <v>500</v>
      </c>
      <c r="P13" s="99"/>
      <c r="Q13" s="99"/>
    </row>
    <row r="14" spans="1:17" ht="20.25" customHeight="1">
      <c r="A14" s="98">
        <v>2</v>
      </c>
      <c r="B14" s="102" t="s">
        <v>235</v>
      </c>
      <c r="C14" s="99">
        <v>1707</v>
      </c>
      <c r="D14" s="99"/>
      <c r="E14" s="99"/>
      <c r="F14" s="99"/>
      <c r="G14" s="99"/>
      <c r="H14" s="99"/>
      <c r="I14" s="99">
        <v>220</v>
      </c>
      <c r="J14" s="99"/>
      <c r="K14" s="99"/>
      <c r="L14" s="99"/>
      <c r="M14" s="99">
        <v>220</v>
      </c>
      <c r="N14" s="99">
        <v>1487</v>
      </c>
      <c r="O14" s="99"/>
      <c r="P14" s="99"/>
      <c r="Q14" s="99"/>
    </row>
    <row r="15" spans="1:17" ht="20.25" customHeight="1">
      <c r="A15" s="98">
        <v>3</v>
      </c>
      <c r="B15" s="102" t="s">
        <v>236</v>
      </c>
      <c r="C15" s="99">
        <v>2275</v>
      </c>
      <c r="D15" s="99"/>
      <c r="E15" s="99"/>
      <c r="F15" s="99"/>
      <c r="G15" s="99"/>
      <c r="H15" s="99"/>
      <c r="I15" s="99"/>
      <c r="J15" s="99"/>
      <c r="K15" s="99"/>
      <c r="L15" s="99"/>
      <c r="M15" s="99"/>
      <c r="N15" s="99">
        <v>1115</v>
      </c>
      <c r="O15" s="99">
        <v>1160</v>
      </c>
      <c r="P15" s="99"/>
      <c r="Q15" s="99"/>
    </row>
    <row r="16" spans="1:17" ht="20.25" customHeight="1">
      <c r="A16" s="98">
        <v>4</v>
      </c>
      <c r="B16" s="102" t="s">
        <v>237</v>
      </c>
      <c r="C16" s="99">
        <v>64350</v>
      </c>
      <c r="D16" s="99"/>
      <c r="E16" s="99"/>
      <c r="F16" s="99"/>
      <c r="G16" s="99"/>
      <c r="H16" s="99"/>
      <c r="I16" s="99"/>
      <c r="J16" s="99"/>
      <c r="K16" s="99"/>
      <c r="L16" s="99"/>
      <c r="M16" s="99"/>
      <c r="N16" s="99">
        <v>840</v>
      </c>
      <c r="O16" s="99"/>
      <c r="P16" s="99"/>
      <c r="Q16" s="99">
        <v>63510</v>
      </c>
    </row>
    <row r="17" spans="1:17" ht="20.25" customHeight="1">
      <c r="A17" s="98">
        <v>5</v>
      </c>
      <c r="B17" s="102" t="s">
        <v>238</v>
      </c>
      <c r="C17" s="99">
        <v>7205</v>
      </c>
      <c r="D17" s="99"/>
      <c r="E17" s="99"/>
      <c r="F17" s="99"/>
      <c r="G17" s="99"/>
      <c r="H17" s="99"/>
      <c r="I17" s="99">
        <v>6500</v>
      </c>
      <c r="J17" s="99"/>
      <c r="K17" s="99">
        <v>6500</v>
      </c>
      <c r="L17" s="99"/>
      <c r="M17" s="99"/>
      <c r="N17" s="99">
        <v>705</v>
      </c>
      <c r="O17" s="99"/>
      <c r="P17" s="99"/>
      <c r="Q17" s="99"/>
    </row>
    <row r="18" spans="1:17" ht="20.25" customHeight="1">
      <c r="A18" s="98">
        <v>6</v>
      </c>
      <c r="B18" s="102" t="s">
        <v>239</v>
      </c>
      <c r="C18" s="99">
        <v>1575</v>
      </c>
      <c r="D18" s="99"/>
      <c r="E18" s="99"/>
      <c r="F18" s="99"/>
      <c r="G18" s="99"/>
      <c r="H18" s="99">
        <v>500</v>
      </c>
      <c r="I18" s="99"/>
      <c r="J18" s="99"/>
      <c r="K18" s="99"/>
      <c r="L18" s="99"/>
      <c r="M18" s="99"/>
      <c r="N18" s="99">
        <v>1075</v>
      </c>
      <c r="O18" s="99"/>
      <c r="P18" s="99"/>
      <c r="Q18" s="99"/>
    </row>
    <row r="19" spans="1:17" ht="20.25" customHeight="1">
      <c r="A19" s="98">
        <v>7</v>
      </c>
      <c r="B19" s="102" t="s">
        <v>240</v>
      </c>
      <c r="C19" s="99">
        <v>632</v>
      </c>
      <c r="D19" s="99"/>
      <c r="E19" s="99"/>
      <c r="F19" s="99"/>
      <c r="G19" s="99"/>
      <c r="H19" s="99"/>
      <c r="I19" s="99"/>
      <c r="J19" s="99"/>
      <c r="K19" s="99"/>
      <c r="L19" s="99"/>
      <c r="M19" s="99"/>
      <c r="N19" s="99">
        <v>632</v>
      </c>
      <c r="O19" s="99"/>
      <c r="P19" s="99"/>
      <c r="Q19" s="99"/>
    </row>
    <row r="20" spans="1:17" ht="20.25" customHeight="1">
      <c r="A20" s="98">
        <v>8</v>
      </c>
      <c r="B20" s="102" t="s">
        <v>324</v>
      </c>
      <c r="C20" s="99">
        <v>1339</v>
      </c>
      <c r="D20" s="99"/>
      <c r="E20" s="99"/>
      <c r="F20" s="99"/>
      <c r="G20" s="99"/>
      <c r="H20" s="99"/>
      <c r="I20" s="99"/>
      <c r="J20" s="99"/>
      <c r="K20" s="99"/>
      <c r="L20" s="99"/>
      <c r="M20" s="99"/>
      <c r="N20" s="99">
        <v>1339</v>
      </c>
      <c r="O20" s="99"/>
      <c r="P20" s="99"/>
      <c r="Q20" s="99"/>
    </row>
    <row r="21" spans="1:17" ht="20.25" customHeight="1">
      <c r="A21" s="98">
        <v>9</v>
      </c>
      <c r="B21" s="102" t="s">
        <v>241</v>
      </c>
      <c r="C21" s="99">
        <v>285155</v>
      </c>
      <c r="D21" s="99">
        <v>284646</v>
      </c>
      <c r="E21" s="99"/>
      <c r="F21" s="99"/>
      <c r="G21" s="99"/>
      <c r="H21" s="99"/>
      <c r="I21" s="99"/>
      <c r="J21" s="99"/>
      <c r="K21" s="99"/>
      <c r="L21" s="99"/>
      <c r="M21" s="99"/>
      <c r="N21" s="99">
        <v>509</v>
      </c>
      <c r="O21" s="99"/>
      <c r="P21" s="99"/>
      <c r="Q21" s="99"/>
    </row>
    <row r="22" spans="1:17" ht="20.25" customHeight="1">
      <c r="A22" s="98">
        <v>10</v>
      </c>
      <c r="B22" s="102" t="s">
        <v>242</v>
      </c>
      <c r="C22" s="99">
        <v>640</v>
      </c>
      <c r="D22" s="99"/>
      <c r="E22" s="99"/>
      <c r="F22" s="99"/>
      <c r="G22" s="99"/>
      <c r="H22" s="99"/>
      <c r="I22" s="99"/>
      <c r="J22" s="99"/>
      <c r="K22" s="99"/>
      <c r="L22" s="99"/>
      <c r="M22" s="99"/>
      <c r="N22" s="99">
        <v>640</v>
      </c>
      <c r="O22" s="99"/>
      <c r="P22" s="99"/>
      <c r="Q22" s="99"/>
    </row>
    <row r="23" spans="1:17" ht="20.25" customHeight="1">
      <c r="A23" s="98">
        <v>11</v>
      </c>
      <c r="B23" s="102" t="s">
        <v>243</v>
      </c>
      <c r="C23" s="99">
        <v>1689</v>
      </c>
      <c r="D23" s="99"/>
      <c r="E23" s="99"/>
      <c r="F23" s="99"/>
      <c r="G23" s="99"/>
      <c r="H23" s="99"/>
      <c r="I23" s="99"/>
      <c r="J23" s="99"/>
      <c r="K23" s="99"/>
      <c r="L23" s="99"/>
      <c r="M23" s="99"/>
      <c r="N23" s="99">
        <v>1689</v>
      </c>
      <c r="O23" s="99"/>
      <c r="P23" s="99"/>
      <c r="Q23" s="99"/>
    </row>
    <row r="24" spans="1:17" ht="20.25" customHeight="1">
      <c r="A24" s="98">
        <v>12</v>
      </c>
      <c r="B24" s="102" t="s">
        <v>244</v>
      </c>
      <c r="C24" s="99">
        <v>919</v>
      </c>
      <c r="D24" s="99"/>
      <c r="E24" s="99"/>
      <c r="F24" s="99"/>
      <c r="G24" s="99"/>
      <c r="H24" s="99"/>
      <c r="I24" s="99"/>
      <c r="J24" s="99"/>
      <c r="K24" s="99"/>
      <c r="L24" s="99"/>
      <c r="M24" s="99"/>
      <c r="N24" s="99">
        <v>919</v>
      </c>
      <c r="O24" s="99"/>
      <c r="P24" s="99"/>
      <c r="Q24" s="99"/>
    </row>
    <row r="25" spans="1:17" ht="20.25" customHeight="1">
      <c r="A25" s="98">
        <v>13</v>
      </c>
      <c r="B25" s="102" t="s">
        <v>327</v>
      </c>
      <c r="C25" s="99">
        <v>7786</v>
      </c>
      <c r="D25" s="99"/>
      <c r="E25" s="99"/>
      <c r="F25" s="99"/>
      <c r="G25" s="99"/>
      <c r="H25" s="99"/>
      <c r="I25" s="99"/>
      <c r="J25" s="99"/>
      <c r="K25" s="99"/>
      <c r="L25" s="99"/>
      <c r="M25" s="99"/>
      <c r="N25" s="99">
        <v>7786</v>
      </c>
      <c r="O25" s="99"/>
      <c r="P25" s="99"/>
      <c r="Q25" s="99"/>
    </row>
    <row r="26" spans="1:17" ht="20.25" customHeight="1">
      <c r="A26" s="98">
        <v>14</v>
      </c>
      <c r="B26" s="102" t="s">
        <v>328</v>
      </c>
      <c r="C26" s="99">
        <v>1017</v>
      </c>
      <c r="D26" s="99"/>
      <c r="E26" s="99"/>
      <c r="F26" s="99">
        <v>635</v>
      </c>
      <c r="G26" s="99"/>
      <c r="H26" s="99"/>
      <c r="I26" s="99"/>
      <c r="J26" s="99"/>
      <c r="K26" s="99"/>
      <c r="L26" s="99"/>
      <c r="M26" s="99"/>
      <c r="N26" s="99">
        <v>382</v>
      </c>
      <c r="O26" s="99"/>
      <c r="P26" s="99"/>
      <c r="Q26" s="99"/>
    </row>
    <row r="27" spans="1:17" ht="20.25" customHeight="1">
      <c r="A27" s="98">
        <v>15</v>
      </c>
      <c r="B27" s="102" t="s">
        <v>329</v>
      </c>
      <c r="C27" s="99">
        <v>1344</v>
      </c>
      <c r="D27" s="99"/>
      <c r="E27" s="99"/>
      <c r="F27" s="99"/>
      <c r="G27" s="99"/>
      <c r="H27" s="99"/>
      <c r="I27" s="99"/>
      <c r="J27" s="99"/>
      <c r="K27" s="99"/>
      <c r="L27" s="99"/>
      <c r="M27" s="99"/>
      <c r="N27" s="99">
        <v>1344</v>
      </c>
      <c r="O27" s="99"/>
      <c r="P27" s="99"/>
      <c r="Q27" s="99"/>
    </row>
    <row r="28" spans="1:17" ht="20.25" customHeight="1">
      <c r="A28" s="98">
        <v>16</v>
      </c>
      <c r="B28" s="102" t="s">
        <v>330</v>
      </c>
      <c r="C28" s="99">
        <v>1387</v>
      </c>
      <c r="D28" s="99"/>
      <c r="E28" s="99"/>
      <c r="F28" s="99"/>
      <c r="G28" s="99"/>
      <c r="H28" s="99"/>
      <c r="I28" s="99"/>
      <c r="J28" s="99"/>
      <c r="K28" s="99"/>
      <c r="L28" s="99"/>
      <c r="M28" s="99"/>
      <c r="N28" s="99">
        <v>1387</v>
      </c>
      <c r="O28" s="99"/>
      <c r="P28" s="99"/>
      <c r="Q28" s="99"/>
    </row>
    <row r="29" spans="1:17" ht="20.25" customHeight="1">
      <c r="A29" s="98">
        <v>17</v>
      </c>
      <c r="B29" s="102" t="s">
        <v>245</v>
      </c>
      <c r="C29" s="99">
        <v>1098</v>
      </c>
      <c r="D29" s="99"/>
      <c r="E29" s="99"/>
      <c r="F29" s="99"/>
      <c r="G29" s="99"/>
      <c r="H29" s="99"/>
      <c r="I29" s="99"/>
      <c r="J29" s="99"/>
      <c r="K29" s="99"/>
      <c r="L29" s="99"/>
      <c r="M29" s="99">
        <v>250</v>
      </c>
      <c r="N29" s="99">
        <v>848</v>
      </c>
      <c r="O29" s="99"/>
      <c r="P29" s="99"/>
      <c r="Q29" s="99"/>
    </row>
    <row r="30" spans="1:17" ht="20.25" customHeight="1">
      <c r="A30" s="98">
        <v>18</v>
      </c>
      <c r="B30" s="102" t="s">
        <v>246</v>
      </c>
      <c r="C30" s="99">
        <v>1792</v>
      </c>
      <c r="D30" s="99"/>
      <c r="E30" s="99"/>
      <c r="F30" s="99"/>
      <c r="G30" s="99"/>
      <c r="H30" s="99"/>
      <c r="I30" s="99"/>
      <c r="J30" s="99"/>
      <c r="K30" s="99"/>
      <c r="L30" s="99"/>
      <c r="M30" s="99"/>
      <c r="N30" s="99">
        <v>1792</v>
      </c>
      <c r="O30" s="99"/>
      <c r="P30" s="99"/>
      <c r="Q30" s="99"/>
    </row>
    <row r="31" spans="1:17" ht="20.25" customHeight="1">
      <c r="A31" s="98">
        <v>19</v>
      </c>
      <c r="B31" s="102" t="s">
        <v>247</v>
      </c>
      <c r="C31" s="99">
        <v>485</v>
      </c>
      <c r="D31" s="99"/>
      <c r="E31" s="99"/>
      <c r="F31" s="99"/>
      <c r="G31" s="99"/>
      <c r="H31" s="99"/>
      <c r="I31" s="99"/>
      <c r="J31" s="99"/>
      <c r="K31" s="99"/>
      <c r="L31" s="99"/>
      <c r="M31" s="99"/>
      <c r="N31" s="99">
        <v>485</v>
      </c>
      <c r="O31" s="99"/>
      <c r="P31" s="99"/>
      <c r="Q31" s="99"/>
    </row>
    <row r="32" spans="1:17" ht="20.25" customHeight="1">
      <c r="A32" s="98">
        <v>20</v>
      </c>
      <c r="B32" s="102" t="s">
        <v>248</v>
      </c>
      <c r="C32" s="99">
        <v>1905</v>
      </c>
      <c r="D32" s="99"/>
      <c r="E32" s="99"/>
      <c r="F32" s="99"/>
      <c r="G32" s="99"/>
      <c r="H32" s="99"/>
      <c r="I32" s="99"/>
      <c r="J32" s="99">
        <v>1905</v>
      </c>
      <c r="K32" s="99"/>
      <c r="L32" s="99"/>
      <c r="M32" s="99"/>
      <c r="N32" s="99"/>
      <c r="O32" s="99"/>
      <c r="P32" s="99"/>
      <c r="Q32" s="99"/>
    </row>
    <row r="33" spans="1:17" ht="20.25" customHeight="1">
      <c r="A33" s="98">
        <v>21</v>
      </c>
      <c r="B33" s="102" t="s">
        <v>249</v>
      </c>
      <c r="C33" s="99">
        <v>4503</v>
      </c>
      <c r="D33" s="99">
        <v>4503</v>
      </c>
      <c r="E33" s="99"/>
      <c r="F33" s="99"/>
      <c r="G33" s="99"/>
      <c r="H33" s="99"/>
      <c r="I33" s="99"/>
      <c r="J33" s="99"/>
      <c r="K33" s="99"/>
      <c r="L33" s="99"/>
      <c r="M33" s="99"/>
      <c r="N33" s="99"/>
      <c r="O33" s="99"/>
      <c r="P33" s="99"/>
      <c r="Q33" s="99"/>
    </row>
    <row r="34" spans="1:17" ht="20.25" customHeight="1">
      <c r="A34" s="98">
        <v>22</v>
      </c>
      <c r="B34" s="102" t="s">
        <v>250</v>
      </c>
      <c r="C34" s="99">
        <v>4651</v>
      </c>
      <c r="D34" s="99"/>
      <c r="E34" s="99"/>
      <c r="F34" s="99"/>
      <c r="G34" s="99">
        <v>4277</v>
      </c>
      <c r="H34" s="99"/>
      <c r="I34" s="99">
        <f>SUM(J34:M34)</f>
        <v>374</v>
      </c>
      <c r="J34" s="99"/>
      <c r="K34" s="99">
        <v>374</v>
      </c>
      <c r="L34" s="99"/>
      <c r="M34" s="99"/>
      <c r="N34" s="99"/>
      <c r="O34" s="99"/>
      <c r="P34" s="99"/>
      <c r="Q34" s="99"/>
    </row>
    <row r="35" spans="1:17" ht="20.25" customHeight="1">
      <c r="A35" s="98">
        <v>23</v>
      </c>
      <c r="B35" s="102" t="s">
        <v>251</v>
      </c>
      <c r="C35" s="99">
        <v>1183</v>
      </c>
      <c r="D35" s="99"/>
      <c r="E35" s="99"/>
      <c r="F35" s="99"/>
      <c r="G35" s="99"/>
      <c r="H35" s="99"/>
      <c r="I35" s="99">
        <f aca="true" t="shared" si="1" ref="I35:I54">SUM(J35:M35)</f>
        <v>1183</v>
      </c>
      <c r="J35" s="99"/>
      <c r="K35" s="99"/>
      <c r="L35" s="99">
        <v>1183</v>
      </c>
      <c r="M35" s="99"/>
      <c r="N35" s="99"/>
      <c r="O35" s="99"/>
      <c r="P35" s="99"/>
      <c r="Q35" s="99"/>
    </row>
    <row r="36" spans="1:17" ht="20.25" customHeight="1">
      <c r="A36" s="98">
        <v>24</v>
      </c>
      <c r="B36" s="102" t="s">
        <v>252</v>
      </c>
      <c r="C36" s="99">
        <v>110</v>
      </c>
      <c r="D36" s="99"/>
      <c r="E36" s="99"/>
      <c r="F36" s="99"/>
      <c r="G36" s="99"/>
      <c r="H36" s="99"/>
      <c r="I36" s="99">
        <f t="shared" si="1"/>
        <v>110</v>
      </c>
      <c r="J36" s="99"/>
      <c r="K36" s="99"/>
      <c r="L36" s="99">
        <v>110</v>
      </c>
      <c r="M36" s="99"/>
      <c r="N36" s="99"/>
      <c r="O36" s="99"/>
      <c r="P36" s="99"/>
      <c r="Q36" s="99"/>
    </row>
    <row r="37" spans="1:17" ht="20.25" customHeight="1">
      <c r="A37" s="98">
        <v>25</v>
      </c>
      <c r="B37" s="102" t="s">
        <v>253</v>
      </c>
      <c r="C37" s="99">
        <v>6435</v>
      </c>
      <c r="D37" s="99"/>
      <c r="E37" s="99"/>
      <c r="F37" s="99"/>
      <c r="G37" s="99"/>
      <c r="H37" s="99">
        <v>400</v>
      </c>
      <c r="I37" s="99">
        <f t="shared" si="1"/>
        <v>6035</v>
      </c>
      <c r="J37" s="99"/>
      <c r="K37" s="99">
        <v>6035</v>
      </c>
      <c r="L37" s="99"/>
      <c r="M37" s="99"/>
      <c r="N37" s="99"/>
      <c r="O37" s="99"/>
      <c r="P37" s="99"/>
      <c r="Q37" s="99"/>
    </row>
    <row r="38" spans="1:17" ht="20.25" customHeight="1">
      <c r="A38" s="98">
        <v>26</v>
      </c>
      <c r="B38" s="102" t="s">
        <v>254</v>
      </c>
      <c r="C38" s="99">
        <v>1253</v>
      </c>
      <c r="D38" s="99"/>
      <c r="E38" s="99"/>
      <c r="F38" s="99"/>
      <c r="G38" s="99"/>
      <c r="H38" s="99"/>
      <c r="I38" s="99">
        <f t="shared" si="1"/>
        <v>1253</v>
      </c>
      <c r="J38" s="99"/>
      <c r="K38" s="99"/>
      <c r="L38" s="99"/>
      <c r="M38" s="99">
        <v>1253</v>
      </c>
      <c r="N38" s="99"/>
      <c r="O38" s="99"/>
      <c r="P38" s="99"/>
      <c r="Q38" s="99"/>
    </row>
    <row r="39" spans="1:17" ht="20.25" customHeight="1">
      <c r="A39" s="98">
        <v>27</v>
      </c>
      <c r="B39" s="102" t="s">
        <v>255</v>
      </c>
      <c r="C39" s="99">
        <v>768</v>
      </c>
      <c r="D39" s="99"/>
      <c r="E39" s="99"/>
      <c r="F39" s="99"/>
      <c r="G39" s="99"/>
      <c r="H39" s="99"/>
      <c r="I39" s="99">
        <f t="shared" si="1"/>
        <v>768</v>
      </c>
      <c r="J39" s="99"/>
      <c r="K39" s="99"/>
      <c r="L39" s="99"/>
      <c r="M39" s="99">
        <v>768</v>
      </c>
      <c r="N39" s="99"/>
      <c r="O39" s="99"/>
      <c r="P39" s="99"/>
      <c r="Q39" s="99"/>
    </row>
    <row r="40" spans="1:17" ht="20.25" customHeight="1">
      <c r="A40" s="98">
        <v>28</v>
      </c>
      <c r="B40" s="102" t="s">
        <v>256</v>
      </c>
      <c r="C40" s="99">
        <v>245</v>
      </c>
      <c r="D40" s="99"/>
      <c r="E40" s="99"/>
      <c r="F40" s="99"/>
      <c r="G40" s="99"/>
      <c r="H40" s="99"/>
      <c r="I40" s="99">
        <f t="shared" si="1"/>
        <v>245</v>
      </c>
      <c r="J40" s="99"/>
      <c r="K40" s="99"/>
      <c r="L40" s="99"/>
      <c r="M40" s="99">
        <v>245</v>
      </c>
      <c r="N40" s="99"/>
      <c r="O40" s="99"/>
      <c r="P40" s="99"/>
      <c r="Q40" s="99"/>
    </row>
    <row r="41" spans="1:17" ht="20.25" customHeight="1">
      <c r="A41" s="98">
        <v>29</v>
      </c>
      <c r="B41" s="102" t="s">
        <v>257</v>
      </c>
      <c r="C41" s="99">
        <v>1316</v>
      </c>
      <c r="D41" s="99"/>
      <c r="E41" s="99"/>
      <c r="F41" s="99"/>
      <c r="G41" s="99"/>
      <c r="H41" s="99"/>
      <c r="I41" s="99">
        <f t="shared" si="1"/>
        <v>1316</v>
      </c>
      <c r="J41" s="99"/>
      <c r="K41" s="99"/>
      <c r="L41" s="99"/>
      <c r="M41" s="99">
        <v>1316</v>
      </c>
      <c r="N41" s="99"/>
      <c r="O41" s="99"/>
      <c r="P41" s="99"/>
      <c r="Q41" s="99"/>
    </row>
    <row r="42" spans="1:17" ht="20.25" customHeight="1">
      <c r="A42" s="98">
        <v>30</v>
      </c>
      <c r="B42" s="102" t="s">
        <v>258</v>
      </c>
      <c r="C42" s="99">
        <v>1061</v>
      </c>
      <c r="D42" s="99"/>
      <c r="E42" s="99"/>
      <c r="F42" s="99"/>
      <c r="G42" s="99"/>
      <c r="H42" s="99"/>
      <c r="I42" s="99">
        <f t="shared" si="1"/>
        <v>1061</v>
      </c>
      <c r="J42" s="99"/>
      <c r="K42" s="99"/>
      <c r="L42" s="99"/>
      <c r="M42" s="99">
        <v>1061</v>
      </c>
      <c r="N42" s="99"/>
      <c r="O42" s="99"/>
      <c r="P42" s="99"/>
      <c r="Q42" s="99"/>
    </row>
    <row r="43" spans="1:17" ht="20.25" customHeight="1">
      <c r="A43" s="98">
        <v>31</v>
      </c>
      <c r="B43" s="102" t="s">
        <v>259</v>
      </c>
      <c r="C43" s="99">
        <v>78</v>
      </c>
      <c r="D43" s="99"/>
      <c r="E43" s="99"/>
      <c r="F43" s="99"/>
      <c r="G43" s="99"/>
      <c r="H43" s="99"/>
      <c r="I43" s="99">
        <f t="shared" si="1"/>
        <v>78</v>
      </c>
      <c r="J43" s="99"/>
      <c r="K43" s="99"/>
      <c r="L43" s="99"/>
      <c r="M43" s="99">
        <v>78</v>
      </c>
      <c r="N43" s="99"/>
      <c r="O43" s="99"/>
      <c r="P43" s="99"/>
      <c r="Q43" s="99"/>
    </row>
    <row r="44" spans="1:17" ht="20.25" customHeight="1">
      <c r="A44" s="98">
        <v>32</v>
      </c>
      <c r="B44" s="102" t="s">
        <v>260</v>
      </c>
      <c r="C44" s="99">
        <v>400</v>
      </c>
      <c r="D44" s="99"/>
      <c r="E44" s="99"/>
      <c r="F44" s="99"/>
      <c r="G44" s="99"/>
      <c r="H44" s="99"/>
      <c r="I44" s="99">
        <f t="shared" si="1"/>
        <v>400</v>
      </c>
      <c r="J44" s="99"/>
      <c r="K44" s="99"/>
      <c r="L44" s="99"/>
      <c r="M44" s="99">
        <v>400</v>
      </c>
      <c r="N44" s="99"/>
      <c r="O44" s="99"/>
      <c r="P44" s="99"/>
      <c r="Q44" s="99"/>
    </row>
    <row r="45" spans="1:17" ht="20.25" customHeight="1">
      <c r="A45" s="98">
        <v>33</v>
      </c>
      <c r="B45" s="102" t="s">
        <v>261</v>
      </c>
      <c r="C45" s="99">
        <v>1898</v>
      </c>
      <c r="D45" s="99"/>
      <c r="E45" s="99"/>
      <c r="F45" s="99"/>
      <c r="G45" s="99"/>
      <c r="H45" s="99"/>
      <c r="I45" s="99">
        <f t="shared" si="1"/>
        <v>1898</v>
      </c>
      <c r="J45" s="99"/>
      <c r="K45" s="99"/>
      <c r="L45" s="99"/>
      <c r="M45" s="99">
        <v>1898</v>
      </c>
      <c r="N45" s="99"/>
      <c r="O45" s="99"/>
      <c r="P45" s="99"/>
      <c r="Q45" s="99"/>
    </row>
    <row r="46" spans="1:17" ht="20.25" customHeight="1">
      <c r="A46" s="98">
        <v>34</v>
      </c>
      <c r="B46" s="102" t="s">
        <v>262</v>
      </c>
      <c r="C46" s="99">
        <v>1283</v>
      </c>
      <c r="D46" s="99"/>
      <c r="E46" s="99"/>
      <c r="F46" s="99"/>
      <c r="G46" s="99"/>
      <c r="H46" s="99"/>
      <c r="I46" s="99">
        <f t="shared" si="1"/>
        <v>1283</v>
      </c>
      <c r="J46" s="99"/>
      <c r="K46" s="99"/>
      <c r="L46" s="99"/>
      <c r="M46" s="99">
        <v>1283</v>
      </c>
      <c r="N46" s="99"/>
      <c r="O46" s="99"/>
      <c r="P46" s="99"/>
      <c r="Q46" s="99"/>
    </row>
    <row r="47" spans="1:17" ht="20.25" customHeight="1">
      <c r="A47" s="98">
        <v>35</v>
      </c>
      <c r="B47" s="102" t="s">
        <v>263</v>
      </c>
      <c r="C47" s="99">
        <v>208</v>
      </c>
      <c r="D47" s="99"/>
      <c r="E47" s="99"/>
      <c r="F47" s="99"/>
      <c r="G47" s="99"/>
      <c r="H47" s="99"/>
      <c r="I47" s="99">
        <f t="shared" si="1"/>
        <v>208</v>
      </c>
      <c r="J47" s="99"/>
      <c r="K47" s="99"/>
      <c r="L47" s="99"/>
      <c r="M47" s="99">
        <v>208</v>
      </c>
      <c r="N47" s="99"/>
      <c r="O47" s="99"/>
      <c r="P47" s="99"/>
      <c r="Q47" s="99"/>
    </row>
    <row r="48" spans="1:17" ht="20.25" customHeight="1">
      <c r="A48" s="98">
        <v>36</v>
      </c>
      <c r="B48" s="102" t="s">
        <v>264</v>
      </c>
      <c r="C48" s="99">
        <v>230</v>
      </c>
      <c r="D48" s="99"/>
      <c r="E48" s="99"/>
      <c r="F48" s="99"/>
      <c r="G48" s="99"/>
      <c r="H48" s="99"/>
      <c r="I48" s="99">
        <f t="shared" si="1"/>
        <v>230</v>
      </c>
      <c r="J48" s="99"/>
      <c r="K48" s="99"/>
      <c r="L48" s="99"/>
      <c r="M48" s="99">
        <v>230</v>
      </c>
      <c r="N48" s="99"/>
      <c r="O48" s="99"/>
      <c r="P48" s="99"/>
      <c r="Q48" s="99"/>
    </row>
    <row r="49" spans="1:17" ht="20.25" customHeight="1">
      <c r="A49" s="98">
        <v>37</v>
      </c>
      <c r="B49" s="102" t="s">
        <v>265</v>
      </c>
      <c r="C49" s="99">
        <v>616</v>
      </c>
      <c r="D49" s="99"/>
      <c r="E49" s="99"/>
      <c r="F49" s="99"/>
      <c r="G49" s="99"/>
      <c r="H49" s="99"/>
      <c r="I49" s="99">
        <f t="shared" si="1"/>
        <v>616</v>
      </c>
      <c r="J49" s="99"/>
      <c r="K49" s="99"/>
      <c r="L49" s="99"/>
      <c r="M49" s="99">
        <v>616</v>
      </c>
      <c r="N49" s="99"/>
      <c r="O49" s="99"/>
      <c r="P49" s="99"/>
      <c r="Q49" s="99"/>
    </row>
    <row r="50" spans="1:17" ht="20.25" customHeight="1">
      <c r="A50" s="98">
        <v>38</v>
      </c>
      <c r="B50" s="102" t="s">
        <v>266</v>
      </c>
      <c r="C50" s="99">
        <v>181</v>
      </c>
      <c r="D50" s="99"/>
      <c r="E50" s="99"/>
      <c r="F50" s="99"/>
      <c r="G50" s="99"/>
      <c r="H50" s="99"/>
      <c r="I50" s="99">
        <f t="shared" si="1"/>
        <v>181</v>
      </c>
      <c r="J50" s="99"/>
      <c r="K50" s="99"/>
      <c r="L50" s="99"/>
      <c r="M50" s="99">
        <v>181</v>
      </c>
      <c r="N50" s="99"/>
      <c r="O50" s="99"/>
      <c r="P50" s="99"/>
      <c r="Q50" s="99"/>
    </row>
    <row r="51" spans="1:17" ht="20.25" customHeight="1">
      <c r="A51" s="98">
        <v>39</v>
      </c>
      <c r="B51" s="102" t="s">
        <v>267</v>
      </c>
      <c r="C51" s="99">
        <v>365</v>
      </c>
      <c r="D51" s="99"/>
      <c r="E51" s="99"/>
      <c r="F51" s="99"/>
      <c r="G51" s="99"/>
      <c r="H51" s="99"/>
      <c r="I51" s="99">
        <f t="shared" si="1"/>
        <v>365</v>
      </c>
      <c r="J51" s="99"/>
      <c r="K51" s="99"/>
      <c r="L51" s="99"/>
      <c r="M51" s="99">
        <v>365</v>
      </c>
      <c r="N51" s="99"/>
      <c r="O51" s="99"/>
      <c r="P51" s="99"/>
      <c r="Q51" s="99"/>
    </row>
    <row r="52" spans="1:17" ht="20.25" customHeight="1">
      <c r="A52" s="98">
        <v>40</v>
      </c>
      <c r="B52" s="102" t="s">
        <v>268</v>
      </c>
      <c r="C52" s="99">
        <v>166</v>
      </c>
      <c r="D52" s="99"/>
      <c r="E52" s="99"/>
      <c r="F52" s="99"/>
      <c r="G52" s="99"/>
      <c r="H52" s="99"/>
      <c r="I52" s="99">
        <f t="shared" si="1"/>
        <v>166</v>
      </c>
      <c r="J52" s="99"/>
      <c r="K52" s="99"/>
      <c r="L52" s="99"/>
      <c r="M52" s="99">
        <v>166</v>
      </c>
      <c r="N52" s="99"/>
      <c r="O52" s="99"/>
      <c r="P52" s="99"/>
      <c r="Q52" s="99"/>
    </row>
    <row r="53" spans="1:17" ht="20.25" customHeight="1">
      <c r="A53" s="98">
        <v>41</v>
      </c>
      <c r="B53" s="102" t="s">
        <v>269</v>
      </c>
      <c r="C53" s="99">
        <v>138</v>
      </c>
      <c r="D53" s="99"/>
      <c r="E53" s="99"/>
      <c r="F53" s="99"/>
      <c r="G53" s="99"/>
      <c r="H53" s="99"/>
      <c r="I53" s="99">
        <f t="shared" si="1"/>
        <v>138</v>
      </c>
      <c r="J53" s="99"/>
      <c r="K53" s="99"/>
      <c r="L53" s="99"/>
      <c r="M53" s="99">
        <v>138</v>
      </c>
      <c r="N53" s="99"/>
      <c r="O53" s="99"/>
      <c r="P53" s="99"/>
      <c r="Q53" s="99"/>
    </row>
    <row r="54" spans="1:17" ht="20.25" customHeight="1">
      <c r="A54" s="98">
        <v>42</v>
      </c>
      <c r="B54" s="102" t="s">
        <v>270</v>
      </c>
      <c r="C54" s="99">
        <v>206</v>
      </c>
      <c r="D54" s="99"/>
      <c r="E54" s="99"/>
      <c r="F54" s="99"/>
      <c r="G54" s="99"/>
      <c r="H54" s="99"/>
      <c r="I54" s="99">
        <f t="shared" si="1"/>
        <v>206</v>
      </c>
      <c r="J54" s="99"/>
      <c r="K54" s="99"/>
      <c r="L54" s="99"/>
      <c r="M54" s="99">
        <v>206</v>
      </c>
      <c r="N54" s="99"/>
      <c r="O54" s="99"/>
      <c r="P54" s="99"/>
      <c r="Q54" s="99"/>
    </row>
    <row r="55" spans="1:17" ht="20.25" customHeight="1">
      <c r="A55" s="98">
        <v>43</v>
      </c>
      <c r="B55" s="102" t="s">
        <v>272</v>
      </c>
      <c r="C55" s="99">
        <f>C56+C61+C64+C65+C66+C67+C68+C69</f>
        <v>42414</v>
      </c>
      <c r="D55" s="99">
        <f aca="true" t="shared" si="2" ref="D55:Q55">D56+D61+D64+D65+D66+D67+D68+D69</f>
        <v>20998</v>
      </c>
      <c r="E55" s="99">
        <f t="shared" si="2"/>
        <v>280</v>
      </c>
      <c r="F55" s="99">
        <f t="shared" si="2"/>
        <v>478</v>
      </c>
      <c r="G55" s="99">
        <f t="shared" si="2"/>
        <v>0</v>
      </c>
      <c r="H55" s="99">
        <f t="shared" si="2"/>
        <v>0</v>
      </c>
      <c r="I55" s="99">
        <f t="shared" si="2"/>
        <v>17468</v>
      </c>
      <c r="J55" s="99">
        <f t="shared" si="2"/>
        <v>1000</v>
      </c>
      <c r="K55" s="99">
        <f t="shared" si="2"/>
        <v>16050</v>
      </c>
      <c r="L55" s="99">
        <f t="shared" si="2"/>
        <v>0</v>
      </c>
      <c r="M55" s="99">
        <f t="shared" si="2"/>
        <v>418</v>
      </c>
      <c r="N55" s="99">
        <f t="shared" si="2"/>
        <v>1100</v>
      </c>
      <c r="O55" s="99">
        <f t="shared" si="2"/>
        <v>1050</v>
      </c>
      <c r="P55" s="99">
        <f t="shared" si="2"/>
        <v>940</v>
      </c>
      <c r="Q55" s="99">
        <f t="shared" si="2"/>
        <v>100</v>
      </c>
    </row>
    <row r="56" spans="1:17" ht="20.25" customHeight="1">
      <c r="A56" s="98" t="s">
        <v>273</v>
      </c>
      <c r="B56" s="102" t="s">
        <v>274</v>
      </c>
      <c r="C56" s="99">
        <f>SUM(C57:C60)</f>
        <v>17468</v>
      </c>
      <c r="D56" s="99">
        <f aca="true" t="shared" si="3" ref="D56:Q56">SUM(D57:D60)</f>
        <v>0</v>
      </c>
      <c r="E56" s="99">
        <f t="shared" si="3"/>
        <v>0</v>
      </c>
      <c r="F56" s="99">
        <f t="shared" si="3"/>
        <v>0</v>
      </c>
      <c r="G56" s="99">
        <f t="shared" si="3"/>
        <v>0</v>
      </c>
      <c r="H56" s="99">
        <f t="shared" si="3"/>
        <v>0</v>
      </c>
      <c r="I56" s="99">
        <f t="shared" si="3"/>
        <v>17468</v>
      </c>
      <c r="J56" s="99">
        <f t="shared" si="3"/>
        <v>1000</v>
      </c>
      <c r="K56" s="99">
        <f t="shared" si="3"/>
        <v>16050</v>
      </c>
      <c r="L56" s="99">
        <f t="shared" si="3"/>
        <v>0</v>
      </c>
      <c r="M56" s="99">
        <f t="shared" si="3"/>
        <v>418</v>
      </c>
      <c r="N56" s="99">
        <f t="shared" si="3"/>
        <v>0</v>
      </c>
      <c r="O56" s="99">
        <f t="shared" si="3"/>
        <v>0</v>
      </c>
      <c r="P56" s="99">
        <f t="shared" si="3"/>
        <v>0</v>
      </c>
      <c r="Q56" s="99">
        <f t="shared" si="3"/>
        <v>0</v>
      </c>
    </row>
    <row r="57" spans="1:17" ht="30.75" customHeight="1">
      <c r="A57" s="98" t="s">
        <v>275</v>
      </c>
      <c r="B57" s="102" t="s">
        <v>331</v>
      </c>
      <c r="C57" s="99">
        <v>1000</v>
      </c>
      <c r="D57" s="99"/>
      <c r="E57" s="99"/>
      <c r="F57" s="99"/>
      <c r="G57" s="99"/>
      <c r="H57" s="99"/>
      <c r="I57" s="99">
        <f>SUM(J57:M57)</f>
        <v>1000</v>
      </c>
      <c r="J57" s="99">
        <v>1000</v>
      </c>
      <c r="K57" s="99"/>
      <c r="L57" s="99"/>
      <c r="M57" s="99"/>
      <c r="N57" s="99"/>
      <c r="O57" s="99"/>
      <c r="P57" s="99"/>
      <c r="Q57" s="99"/>
    </row>
    <row r="58" spans="1:17" s="115" customFormat="1" ht="57" customHeight="1">
      <c r="A58" s="98" t="s">
        <v>276</v>
      </c>
      <c r="B58" s="102" t="s">
        <v>332</v>
      </c>
      <c r="C58" s="114">
        <v>14550</v>
      </c>
      <c r="D58" s="114"/>
      <c r="E58" s="114"/>
      <c r="F58" s="114"/>
      <c r="G58" s="114"/>
      <c r="H58" s="114"/>
      <c r="I58" s="99">
        <f>SUM(J58:M58)</f>
        <v>14550</v>
      </c>
      <c r="J58" s="114"/>
      <c r="K58" s="114">
        <v>14550</v>
      </c>
      <c r="L58" s="114"/>
      <c r="M58" s="114"/>
      <c r="N58" s="114"/>
      <c r="O58" s="114"/>
      <c r="P58" s="114"/>
      <c r="Q58" s="114"/>
    </row>
    <row r="59" spans="1:17" s="115" customFormat="1" ht="83.25">
      <c r="A59" s="98" t="s">
        <v>276</v>
      </c>
      <c r="B59" s="102" t="s">
        <v>333</v>
      </c>
      <c r="C59" s="114">
        <v>1500</v>
      </c>
      <c r="D59" s="114"/>
      <c r="E59" s="114"/>
      <c r="F59" s="114"/>
      <c r="G59" s="114"/>
      <c r="H59" s="114"/>
      <c r="I59" s="99">
        <f>SUM(J59:M59)</f>
        <v>1500</v>
      </c>
      <c r="J59" s="114"/>
      <c r="K59" s="114">
        <v>1500</v>
      </c>
      <c r="L59" s="114"/>
      <c r="M59" s="114"/>
      <c r="N59" s="114"/>
      <c r="O59" s="114"/>
      <c r="P59" s="114"/>
      <c r="Q59" s="114"/>
    </row>
    <row r="60" spans="1:17" ht="22.5" customHeight="1">
      <c r="A60" s="98" t="s">
        <v>276</v>
      </c>
      <c r="B60" s="102" t="s">
        <v>334</v>
      </c>
      <c r="C60" s="99">
        <v>418</v>
      </c>
      <c r="D60" s="99"/>
      <c r="E60" s="99"/>
      <c r="F60" s="99"/>
      <c r="G60" s="99"/>
      <c r="H60" s="99"/>
      <c r="I60" s="99">
        <f>SUM(J60:M60)</f>
        <v>418</v>
      </c>
      <c r="J60" s="99"/>
      <c r="K60" s="99"/>
      <c r="L60" s="99"/>
      <c r="M60" s="99">
        <v>418</v>
      </c>
      <c r="N60" s="99"/>
      <c r="O60" s="99"/>
      <c r="P60" s="99"/>
      <c r="Q60" s="99"/>
    </row>
    <row r="61" spans="1:17" ht="22.5" customHeight="1">
      <c r="A61" s="98" t="s">
        <v>277</v>
      </c>
      <c r="B61" s="102" t="s">
        <v>279</v>
      </c>
      <c r="C61" s="99">
        <f>SUM(C62:C63)</f>
        <v>20998</v>
      </c>
      <c r="D61" s="99">
        <f aca="true" t="shared" si="4" ref="D61:Q61">SUM(D62:D63)</f>
        <v>20998</v>
      </c>
      <c r="E61" s="99">
        <f t="shared" si="4"/>
        <v>0</v>
      </c>
      <c r="F61" s="99">
        <f t="shared" si="4"/>
        <v>0</v>
      </c>
      <c r="G61" s="99">
        <f t="shared" si="4"/>
        <v>0</v>
      </c>
      <c r="H61" s="99">
        <f t="shared" si="4"/>
        <v>0</v>
      </c>
      <c r="I61" s="99">
        <f t="shared" si="4"/>
        <v>0</v>
      </c>
      <c r="J61" s="99">
        <f t="shared" si="4"/>
        <v>0</v>
      </c>
      <c r="K61" s="99">
        <f t="shared" si="4"/>
        <v>0</v>
      </c>
      <c r="L61" s="99">
        <f t="shared" si="4"/>
        <v>0</v>
      </c>
      <c r="M61" s="99">
        <f t="shared" si="4"/>
        <v>0</v>
      </c>
      <c r="N61" s="99">
        <f t="shared" si="4"/>
        <v>0</v>
      </c>
      <c r="O61" s="99">
        <f t="shared" si="4"/>
        <v>0</v>
      </c>
      <c r="P61" s="99">
        <f t="shared" si="4"/>
        <v>0</v>
      </c>
      <c r="Q61" s="99">
        <f t="shared" si="4"/>
        <v>0</v>
      </c>
    </row>
    <row r="62" spans="1:17" s="115" customFormat="1" ht="31.5" customHeight="1">
      <c r="A62" s="98" t="s">
        <v>275</v>
      </c>
      <c r="B62" s="102" t="s">
        <v>280</v>
      </c>
      <c r="C62" s="114">
        <v>20000</v>
      </c>
      <c r="D62" s="114">
        <v>20000</v>
      </c>
      <c r="E62" s="114"/>
      <c r="F62" s="114"/>
      <c r="G62" s="114"/>
      <c r="H62" s="114"/>
      <c r="I62" s="114"/>
      <c r="J62" s="114"/>
      <c r="K62" s="114"/>
      <c r="L62" s="114"/>
      <c r="M62" s="114"/>
      <c r="N62" s="114"/>
      <c r="O62" s="114"/>
      <c r="P62" s="114"/>
      <c r="Q62" s="114"/>
    </row>
    <row r="63" spans="1:17" s="115" customFormat="1" ht="31.5" customHeight="1">
      <c r="A63" s="98" t="s">
        <v>275</v>
      </c>
      <c r="B63" s="102" t="s">
        <v>281</v>
      </c>
      <c r="C63" s="114">
        <v>998</v>
      </c>
      <c r="D63" s="114">
        <v>998</v>
      </c>
      <c r="E63" s="114"/>
      <c r="F63" s="114"/>
      <c r="G63" s="114"/>
      <c r="H63" s="114"/>
      <c r="I63" s="114"/>
      <c r="J63" s="114"/>
      <c r="K63" s="114"/>
      <c r="L63" s="114"/>
      <c r="M63" s="114"/>
      <c r="N63" s="114"/>
      <c r="O63" s="114"/>
      <c r="P63" s="114"/>
      <c r="Q63" s="114"/>
    </row>
    <row r="64" spans="1:17" s="115" customFormat="1" ht="20.25" customHeight="1">
      <c r="A64" s="98" t="s">
        <v>278</v>
      </c>
      <c r="B64" s="102" t="s">
        <v>283</v>
      </c>
      <c r="C64" s="114">
        <v>478</v>
      </c>
      <c r="D64" s="114"/>
      <c r="E64" s="114"/>
      <c r="F64" s="114">
        <v>478</v>
      </c>
      <c r="G64" s="114"/>
      <c r="H64" s="114"/>
      <c r="I64" s="114"/>
      <c r="J64" s="114"/>
      <c r="K64" s="114"/>
      <c r="L64" s="114"/>
      <c r="M64" s="114"/>
      <c r="N64" s="114"/>
      <c r="O64" s="114"/>
      <c r="P64" s="114"/>
      <c r="Q64" s="114"/>
    </row>
    <row r="65" spans="1:17" s="115" customFormat="1" ht="18.75" customHeight="1">
      <c r="A65" s="98" t="s">
        <v>282</v>
      </c>
      <c r="B65" s="102" t="s">
        <v>285</v>
      </c>
      <c r="C65" s="114">
        <v>100</v>
      </c>
      <c r="D65" s="114"/>
      <c r="E65" s="114"/>
      <c r="F65" s="114"/>
      <c r="G65" s="114"/>
      <c r="H65" s="114"/>
      <c r="I65" s="114"/>
      <c r="J65" s="114"/>
      <c r="K65" s="114"/>
      <c r="L65" s="114"/>
      <c r="M65" s="114"/>
      <c r="N65" s="114"/>
      <c r="O65" s="114"/>
      <c r="P65" s="114"/>
      <c r="Q65" s="114">
        <v>100</v>
      </c>
    </row>
    <row r="66" spans="1:17" s="115" customFormat="1" ht="20.25" customHeight="1">
      <c r="A66" s="98" t="s">
        <v>284</v>
      </c>
      <c r="B66" s="102" t="s">
        <v>287</v>
      </c>
      <c r="C66" s="114">
        <v>1100</v>
      </c>
      <c r="D66" s="114"/>
      <c r="E66" s="114"/>
      <c r="F66" s="114"/>
      <c r="G66" s="114"/>
      <c r="H66" s="114"/>
      <c r="I66" s="114"/>
      <c r="J66" s="114"/>
      <c r="K66" s="114"/>
      <c r="L66" s="114"/>
      <c r="M66" s="114"/>
      <c r="N66" s="114">
        <v>1100</v>
      </c>
      <c r="O66" s="114"/>
      <c r="P66" s="114"/>
      <c r="Q66" s="114"/>
    </row>
    <row r="67" spans="1:17" s="115" customFormat="1" ht="32.25" customHeight="1">
      <c r="A67" s="98" t="s">
        <v>286</v>
      </c>
      <c r="B67" s="102" t="s">
        <v>335</v>
      </c>
      <c r="C67" s="114">
        <v>1050</v>
      </c>
      <c r="D67" s="114"/>
      <c r="E67" s="114"/>
      <c r="F67" s="114"/>
      <c r="G67" s="114"/>
      <c r="H67" s="114"/>
      <c r="I67" s="114"/>
      <c r="J67" s="114"/>
      <c r="K67" s="114"/>
      <c r="L67" s="114"/>
      <c r="M67" s="114"/>
      <c r="N67" s="114"/>
      <c r="O67" s="114">
        <v>1050</v>
      </c>
      <c r="P67" s="114"/>
      <c r="Q67" s="114"/>
    </row>
    <row r="68" spans="1:17" s="115" customFormat="1" ht="20.25" customHeight="1">
      <c r="A68" s="98" t="s">
        <v>288</v>
      </c>
      <c r="B68" s="102" t="s">
        <v>290</v>
      </c>
      <c r="C68" s="114">
        <v>940</v>
      </c>
      <c r="D68" s="114"/>
      <c r="E68" s="114"/>
      <c r="F68" s="114"/>
      <c r="G68" s="114"/>
      <c r="H68" s="114"/>
      <c r="I68" s="114"/>
      <c r="J68" s="114"/>
      <c r="K68" s="114"/>
      <c r="L68" s="114"/>
      <c r="M68" s="114"/>
      <c r="N68" s="114"/>
      <c r="O68" s="114"/>
      <c r="P68" s="114">
        <v>940</v>
      </c>
      <c r="Q68" s="114"/>
    </row>
    <row r="69" spans="1:17" s="115" customFormat="1" ht="20.25" customHeight="1">
      <c r="A69" s="98" t="s">
        <v>289</v>
      </c>
      <c r="B69" s="102" t="s">
        <v>292</v>
      </c>
      <c r="C69" s="114">
        <v>280</v>
      </c>
      <c r="D69" s="114"/>
      <c r="E69" s="114">
        <v>280</v>
      </c>
      <c r="F69" s="114"/>
      <c r="G69" s="114"/>
      <c r="H69" s="114"/>
      <c r="I69" s="114"/>
      <c r="J69" s="114"/>
      <c r="K69" s="114"/>
      <c r="L69" s="114"/>
      <c r="M69" s="114"/>
      <c r="N69" s="114"/>
      <c r="O69" s="114"/>
      <c r="P69" s="114"/>
      <c r="Q69" s="114"/>
    </row>
    <row r="70" spans="1:17" s="115" customFormat="1" ht="18.75" customHeight="1">
      <c r="A70" s="116">
        <v>44</v>
      </c>
      <c r="B70" s="149" t="s">
        <v>291</v>
      </c>
      <c r="C70" s="148">
        <v>1500</v>
      </c>
      <c r="D70" s="148"/>
      <c r="E70" s="148"/>
      <c r="F70" s="148"/>
      <c r="G70" s="148"/>
      <c r="H70" s="148"/>
      <c r="I70" s="148"/>
      <c r="J70" s="148"/>
      <c r="K70" s="148"/>
      <c r="L70" s="148"/>
      <c r="M70" s="148"/>
      <c r="N70" s="148"/>
      <c r="O70" s="148"/>
      <c r="P70" s="148"/>
      <c r="Q70" s="148">
        <v>1500</v>
      </c>
    </row>
  </sheetData>
  <sheetProtection/>
  <mergeCells count="20">
    <mergeCell ref="N8:N9"/>
    <mergeCell ref="Q8:Q9"/>
    <mergeCell ref="P8:P9"/>
    <mergeCell ref="J8:M8"/>
    <mergeCell ref="P6:Q6"/>
    <mergeCell ref="O8:O9"/>
    <mergeCell ref="A1:C1"/>
    <mergeCell ref="K1:Q1"/>
    <mergeCell ref="A3:Q3"/>
    <mergeCell ref="A4:Q4"/>
    <mergeCell ref="A7:A9"/>
    <mergeCell ref="B7:B9"/>
    <mergeCell ref="C7:C9"/>
    <mergeCell ref="D7:Q7"/>
    <mergeCell ref="D8:D9"/>
    <mergeCell ref="E8:E9"/>
    <mergeCell ref="F8:F9"/>
    <mergeCell ref="G8:G9"/>
    <mergeCell ref="H8:H9"/>
    <mergeCell ref="I8:I9"/>
  </mergeCells>
  <printOptions/>
  <pageMargins left="0.2362204724409449" right="0.1968503937007874" top="0.4330708661417323" bottom="0.3937007874015748" header="0.31496062992125984" footer="0.31496062992125984"/>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M28"/>
  <sheetViews>
    <sheetView zoomScalePageLayoutView="0" workbookViewId="0" topLeftCell="A16">
      <selection activeCell="K34" sqref="K34"/>
    </sheetView>
  </sheetViews>
  <sheetFormatPr defaultColWidth="9.00390625" defaultRowHeight="15"/>
  <cols>
    <col min="1" max="1" width="5.140625" style="77" customWidth="1"/>
    <col min="2" max="2" width="17.8515625" style="77" customWidth="1"/>
    <col min="3" max="3" width="9.8515625" style="77" customWidth="1"/>
    <col min="4" max="5" width="9.57421875" style="77" bestFit="1" customWidth="1"/>
    <col min="6" max="6" width="10.57421875" style="77" customWidth="1"/>
    <col min="7" max="7" width="9.57421875" style="77" bestFit="1" customWidth="1"/>
    <col min="8" max="9" width="9.28125" style="77" bestFit="1" customWidth="1"/>
    <col min="10" max="10" width="10.00390625" style="77" customWidth="1"/>
    <col min="11" max="12" width="9.00390625" style="77" customWidth="1"/>
    <col min="13" max="13" width="9.7109375" style="77" bestFit="1" customWidth="1"/>
    <col min="14" max="16384" width="9.00390625" style="77" customWidth="1"/>
  </cols>
  <sheetData>
    <row r="1" spans="1:10" ht="30" customHeight="1">
      <c r="A1" s="237" t="s">
        <v>316</v>
      </c>
      <c r="B1" s="237"/>
      <c r="C1" s="237"/>
      <c r="H1" s="236" t="s">
        <v>146</v>
      </c>
      <c r="I1" s="236"/>
      <c r="J1" s="236"/>
    </row>
    <row r="2" ht="15">
      <c r="A2" s="79"/>
    </row>
    <row r="3" spans="1:10" ht="15">
      <c r="A3" s="248" t="s">
        <v>817</v>
      </c>
      <c r="B3" s="248"/>
      <c r="C3" s="248"/>
      <c r="D3" s="248"/>
      <c r="E3" s="248"/>
      <c r="F3" s="248"/>
      <c r="G3" s="248"/>
      <c r="H3" s="248"/>
      <c r="I3" s="248"/>
      <c r="J3" s="248"/>
    </row>
    <row r="4" spans="1:10" ht="15">
      <c r="A4" s="238" t="s">
        <v>1</v>
      </c>
      <c r="B4" s="238"/>
      <c r="C4" s="238"/>
      <c r="D4" s="238"/>
      <c r="E4" s="238"/>
      <c r="F4" s="238"/>
      <c r="G4" s="238"/>
      <c r="H4" s="238"/>
      <c r="I4" s="238"/>
      <c r="J4" s="238"/>
    </row>
    <row r="5" spans="1:10" ht="15">
      <c r="A5" s="141"/>
      <c r="B5" s="141"/>
      <c r="C5" s="141"/>
      <c r="D5" s="141"/>
      <c r="E5" s="141"/>
      <c r="F5" s="141"/>
      <c r="G5" s="141"/>
      <c r="H5" s="141"/>
      <c r="I5" s="141"/>
      <c r="J5" s="141"/>
    </row>
    <row r="6" spans="8:10" ht="15">
      <c r="H6" s="239" t="s">
        <v>31</v>
      </c>
      <c r="I6" s="239"/>
      <c r="J6" s="239"/>
    </row>
    <row r="7" spans="1:10" ht="33" customHeight="1">
      <c r="A7" s="253" t="s">
        <v>147</v>
      </c>
      <c r="B7" s="253" t="s">
        <v>148</v>
      </c>
      <c r="C7" s="253" t="s">
        <v>149</v>
      </c>
      <c r="D7" s="256" t="s">
        <v>820</v>
      </c>
      <c r="E7" s="258"/>
      <c r="F7" s="257"/>
      <c r="G7" s="253" t="s">
        <v>819</v>
      </c>
      <c r="H7" s="253" t="s">
        <v>151</v>
      </c>
      <c r="I7" s="253" t="s">
        <v>18</v>
      </c>
      <c r="J7" s="253" t="s">
        <v>821</v>
      </c>
    </row>
    <row r="8" spans="1:10" ht="15">
      <c r="A8" s="253"/>
      <c r="B8" s="253"/>
      <c r="C8" s="253"/>
      <c r="D8" s="254" t="s">
        <v>152</v>
      </c>
      <c r="E8" s="256" t="s">
        <v>75</v>
      </c>
      <c r="F8" s="257"/>
      <c r="G8" s="253"/>
      <c r="H8" s="253"/>
      <c r="I8" s="253"/>
      <c r="J8" s="253"/>
    </row>
    <row r="9" spans="1:10" ht="76.5">
      <c r="A9" s="253"/>
      <c r="B9" s="253"/>
      <c r="C9" s="253"/>
      <c r="D9" s="255"/>
      <c r="E9" s="163" t="s">
        <v>818</v>
      </c>
      <c r="F9" s="163" t="s">
        <v>153</v>
      </c>
      <c r="G9" s="253"/>
      <c r="H9" s="253"/>
      <c r="I9" s="253"/>
      <c r="J9" s="253"/>
    </row>
    <row r="10" spans="1:10" ht="15">
      <c r="A10" s="121" t="s">
        <v>6</v>
      </c>
      <c r="B10" s="121" t="s">
        <v>7</v>
      </c>
      <c r="C10" s="121">
        <v>1</v>
      </c>
      <c r="D10" s="121">
        <v>2</v>
      </c>
      <c r="E10" s="121">
        <v>3</v>
      </c>
      <c r="F10" s="121">
        <v>4</v>
      </c>
      <c r="G10" s="121">
        <v>5</v>
      </c>
      <c r="H10" s="121">
        <v>6</v>
      </c>
      <c r="I10" s="121">
        <v>7</v>
      </c>
      <c r="J10" s="121">
        <v>8</v>
      </c>
    </row>
    <row r="11" spans="1:13" ht="17.25" customHeight="1">
      <c r="A11" s="150"/>
      <c r="B11" s="163" t="s">
        <v>124</v>
      </c>
      <c r="C11" s="151">
        <f>SUM(C12:C28)</f>
        <v>179296</v>
      </c>
      <c r="D11" s="151">
        <f aca="true" t="shared" si="0" ref="D11:J11">SUM(D12:D28)</f>
        <v>51553</v>
      </c>
      <c r="E11" s="151">
        <f t="shared" si="0"/>
        <v>42666</v>
      </c>
      <c r="F11" s="151">
        <f t="shared" si="0"/>
        <v>8887</v>
      </c>
      <c r="G11" s="151">
        <f t="shared" si="0"/>
        <v>51320</v>
      </c>
      <c r="H11" s="151">
        <f t="shared" si="0"/>
        <v>0</v>
      </c>
      <c r="I11" s="151">
        <f t="shared" si="0"/>
        <v>0</v>
      </c>
      <c r="J11" s="151">
        <f t="shared" si="0"/>
        <v>122690</v>
      </c>
      <c r="M11" s="136">
        <f>D11+G11</f>
        <v>102873</v>
      </c>
    </row>
    <row r="12" spans="1:10" ht="17.25" customHeight="1">
      <c r="A12" s="198">
        <v>1</v>
      </c>
      <c r="B12" s="199" t="s">
        <v>349</v>
      </c>
      <c r="C12" s="123">
        <v>3650</v>
      </c>
      <c r="D12" s="123">
        <f>SUM(E12:F12)</f>
        <v>2220</v>
      </c>
      <c r="E12" s="123">
        <v>2075</v>
      </c>
      <c r="F12" s="123">
        <v>145</v>
      </c>
      <c r="G12" s="123">
        <v>3654</v>
      </c>
      <c r="H12" s="123"/>
      <c r="I12" s="123"/>
      <c r="J12" s="123">
        <v>7120</v>
      </c>
    </row>
    <row r="13" spans="1:10" ht="17.25" customHeight="1">
      <c r="A13" s="200">
        <v>2</v>
      </c>
      <c r="B13" s="201" t="s">
        <v>350</v>
      </c>
      <c r="C13" s="152">
        <v>11061</v>
      </c>
      <c r="D13" s="152">
        <f aca="true" t="shared" si="1" ref="D13:D28">SUM(E13:F13)</f>
        <v>2850</v>
      </c>
      <c r="E13" s="152">
        <v>2293</v>
      </c>
      <c r="F13" s="152">
        <v>557</v>
      </c>
      <c r="G13" s="152">
        <v>2267</v>
      </c>
      <c r="H13" s="152"/>
      <c r="I13" s="152"/>
      <c r="J13" s="152">
        <v>6350</v>
      </c>
    </row>
    <row r="14" spans="1:10" ht="17.25" customHeight="1">
      <c r="A14" s="200">
        <v>3</v>
      </c>
      <c r="B14" s="201" t="s">
        <v>351</v>
      </c>
      <c r="C14" s="152">
        <v>5302</v>
      </c>
      <c r="D14" s="152">
        <f t="shared" si="1"/>
        <v>2281</v>
      </c>
      <c r="E14" s="152">
        <v>1978</v>
      </c>
      <c r="F14" s="152">
        <v>303</v>
      </c>
      <c r="G14" s="152">
        <v>3396</v>
      </c>
      <c r="H14" s="152"/>
      <c r="I14" s="152"/>
      <c r="J14" s="152">
        <v>6467</v>
      </c>
    </row>
    <row r="15" spans="1:10" ht="17.25" customHeight="1">
      <c r="A15" s="200">
        <v>4</v>
      </c>
      <c r="B15" s="201" t="s">
        <v>352</v>
      </c>
      <c r="C15" s="152">
        <v>30535</v>
      </c>
      <c r="D15" s="152">
        <f t="shared" si="1"/>
        <v>5390</v>
      </c>
      <c r="E15" s="152">
        <v>4244</v>
      </c>
      <c r="F15" s="152">
        <v>1146</v>
      </c>
      <c r="G15" s="152">
        <v>1732</v>
      </c>
      <c r="H15" s="152"/>
      <c r="I15" s="152"/>
      <c r="J15" s="152">
        <v>8292</v>
      </c>
    </row>
    <row r="16" spans="1:10" ht="17.25" customHeight="1">
      <c r="A16" s="200">
        <v>5</v>
      </c>
      <c r="B16" s="201" t="s">
        <v>353</v>
      </c>
      <c r="C16" s="152">
        <v>13371</v>
      </c>
      <c r="D16" s="152">
        <f t="shared" si="1"/>
        <v>3920</v>
      </c>
      <c r="E16" s="152">
        <v>3081</v>
      </c>
      <c r="F16" s="152">
        <v>839</v>
      </c>
      <c r="G16" s="152">
        <v>2888</v>
      </c>
      <c r="H16" s="152"/>
      <c r="I16" s="152"/>
      <c r="J16" s="152">
        <v>7886</v>
      </c>
    </row>
    <row r="17" spans="1:10" ht="17.25" customHeight="1">
      <c r="A17" s="200">
        <v>6</v>
      </c>
      <c r="B17" s="201" t="s">
        <v>354</v>
      </c>
      <c r="C17" s="152">
        <v>4357</v>
      </c>
      <c r="D17" s="152">
        <f t="shared" si="1"/>
        <v>2401</v>
      </c>
      <c r="E17" s="152">
        <v>2250</v>
      </c>
      <c r="F17" s="152">
        <v>151</v>
      </c>
      <c r="G17" s="152">
        <v>3876</v>
      </c>
      <c r="H17" s="152"/>
      <c r="I17" s="152"/>
      <c r="J17" s="152">
        <v>7286</v>
      </c>
    </row>
    <row r="18" spans="1:10" ht="17.25" customHeight="1">
      <c r="A18" s="200">
        <v>7</v>
      </c>
      <c r="B18" s="201" t="s">
        <v>355</v>
      </c>
      <c r="C18" s="152">
        <v>3626</v>
      </c>
      <c r="D18" s="152">
        <f t="shared" si="1"/>
        <v>1700</v>
      </c>
      <c r="E18" s="152">
        <v>1504</v>
      </c>
      <c r="F18" s="152">
        <v>196</v>
      </c>
      <c r="G18" s="152">
        <v>3395</v>
      </c>
      <c r="H18" s="152"/>
      <c r="I18" s="152"/>
      <c r="J18" s="152">
        <v>5990</v>
      </c>
    </row>
    <row r="19" spans="1:10" ht="17.25" customHeight="1">
      <c r="A19" s="200">
        <v>8</v>
      </c>
      <c r="B19" s="201" t="s">
        <v>356</v>
      </c>
      <c r="C19" s="152">
        <v>12374</v>
      </c>
      <c r="D19" s="152">
        <f t="shared" si="1"/>
        <v>3551</v>
      </c>
      <c r="E19" s="152">
        <v>2700</v>
      </c>
      <c r="F19" s="152">
        <v>851</v>
      </c>
      <c r="G19" s="152">
        <v>2224</v>
      </c>
      <c r="H19" s="152"/>
      <c r="I19" s="152"/>
      <c r="J19" s="152">
        <v>6699</v>
      </c>
    </row>
    <row r="20" spans="1:10" ht="17.25" customHeight="1">
      <c r="A20" s="200">
        <v>9</v>
      </c>
      <c r="B20" s="201" t="s">
        <v>357</v>
      </c>
      <c r="C20" s="152">
        <v>8612</v>
      </c>
      <c r="D20" s="152">
        <f t="shared" si="1"/>
        <v>3023</v>
      </c>
      <c r="E20" s="152">
        <v>2530</v>
      </c>
      <c r="F20" s="152">
        <v>493</v>
      </c>
      <c r="G20" s="152">
        <v>2957</v>
      </c>
      <c r="H20" s="152"/>
      <c r="I20" s="152"/>
      <c r="J20" s="152">
        <v>7197</v>
      </c>
    </row>
    <row r="21" spans="1:10" ht="17.25" customHeight="1">
      <c r="A21" s="200">
        <v>10</v>
      </c>
      <c r="B21" s="201" t="s">
        <v>358</v>
      </c>
      <c r="C21" s="152">
        <v>9881</v>
      </c>
      <c r="D21" s="152">
        <f t="shared" si="1"/>
        <v>2237</v>
      </c>
      <c r="E21" s="152">
        <v>1480</v>
      </c>
      <c r="F21" s="152">
        <v>757</v>
      </c>
      <c r="G21" s="152">
        <v>3888</v>
      </c>
      <c r="H21" s="152"/>
      <c r="I21" s="152"/>
      <c r="J21" s="152">
        <v>6974</v>
      </c>
    </row>
    <row r="22" spans="1:10" ht="17.25" customHeight="1">
      <c r="A22" s="200">
        <v>11</v>
      </c>
      <c r="B22" s="201" t="s">
        <v>359</v>
      </c>
      <c r="C22" s="152">
        <v>9318</v>
      </c>
      <c r="D22" s="152">
        <f t="shared" si="1"/>
        <v>2870</v>
      </c>
      <c r="E22" s="152">
        <v>2250</v>
      </c>
      <c r="F22" s="152">
        <v>620</v>
      </c>
      <c r="G22" s="152">
        <v>3574</v>
      </c>
      <c r="H22" s="152"/>
      <c r="I22" s="152"/>
      <c r="J22" s="152">
        <v>8056</v>
      </c>
    </row>
    <row r="23" spans="1:10" ht="17.25" customHeight="1">
      <c r="A23" s="200">
        <v>12</v>
      </c>
      <c r="B23" s="201" t="s">
        <v>360</v>
      </c>
      <c r="C23" s="152">
        <v>2096</v>
      </c>
      <c r="D23" s="152">
        <f t="shared" si="1"/>
        <v>1851</v>
      </c>
      <c r="E23" s="152">
        <v>1833</v>
      </c>
      <c r="F23" s="152">
        <v>18</v>
      </c>
      <c r="G23" s="152">
        <v>3237</v>
      </c>
      <c r="H23" s="152"/>
      <c r="I23" s="152"/>
      <c r="J23" s="152">
        <v>6130</v>
      </c>
    </row>
    <row r="24" spans="1:10" ht="17.25" customHeight="1">
      <c r="A24" s="200">
        <v>13</v>
      </c>
      <c r="B24" s="201" t="s">
        <v>361</v>
      </c>
      <c r="C24" s="152">
        <v>3250</v>
      </c>
      <c r="D24" s="152">
        <f t="shared" si="1"/>
        <v>2082</v>
      </c>
      <c r="E24" s="152">
        <v>1975</v>
      </c>
      <c r="F24" s="152">
        <v>107</v>
      </c>
      <c r="G24" s="152">
        <v>3086</v>
      </c>
      <c r="H24" s="152"/>
      <c r="I24" s="152"/>
      <c r="J24" s="152">
        <v>5870</v>
      </c>
    </row>
    <row r="25" spans="1:10" ht="17.25" customHeight="1">
      <c r="A25" s="200">
        <v>14</v>
      </c>
      <c r="B25" s="201" t="s">
        <v>362</v>
      </c>
      <c r="C25" s="152">
        <v>12343</v>
      </c>
      <c r="D25" s="152">
        <f t="shared" si="1"/>
        <v>2937</v>
      </c>
      <c r="E25" s="152">
        <v>2053</v>
      </c>
      <c r="F25" s="152">
        <v>884</v>
      </c>
      <c r="G25" s="152">
        <v>2560</v>
      </c>
      <c r="H25" s="152"/>
      <c r="I25" s="152"/>
      <c r="J25" s="152">
        <v>6836</v>
      </c>
    </row>
    <row r="26" spans="1:10" ht="17.25" customHeight="1">
      <c r="A26" s="200">
        <v>15</v>
      </c>
      <c r="B26" s="201" t="s">
        <v>363</v>
      </c>
      <c r="C26" s="152">
        <v>41484</v>
      </c>
      <c r="D26" s="152">
        <f t="shared" si="1"/>
        <v>7660</v>
      </c>
      <c r="E26" s="152">
        <v>6144</v>
      </c>
      <c r="F26" s="152">
        <v>1516</v>
      </c>
      <c r="G26" s="152">
        <v>768</v>
      </c>
      <c r="H26" s="152"/>
      <c r="I26" s="152"/>
      <c r="J26" s="152">
        <v>10353</v>
      </c>
    </row>
    <row r="27" spans="1:10" ht="17.25" customHeight="1">
      <c r="A27" s="200">
        <v>16</v>
      </c>
      <c r="B27" s="201" t="s">
        <v>364</v>
      </c>
      <c r="C27" s="152">
        <v>4467</v>
      </c>
      <c r="D27" s="152">
        <f t="shared" si="1"/>
        <v>2369</v>
      </c>
      <c r="E27" s="152">
        <v>2186</v>
      </c>
      <c r="F27" s="152">
        <v>183</v>
      </c>
      <c r="G27" s="152">
        <v>3268</v>
      </c>
      <c r="H27" s="152"/>
      <c r="I27" s="152"/>
      <c r="J27" s="152">
        <v>7175</v>
      </c>
    </row>
    <row r="28" spans="1:10" ht="17.25" customHeight="1">
      <c r="A28" s="202">
        <v>17</v>
      </c>
      <c r="B28" s="203" t="s">
        <v>365</v>
      </c>
      <c r="C28" s="204">
        <v>3569</v>
      </c>
      <c r="D28" s="204">
        <f t="shared" si="1"/>
        <v>2211</v>
      </c>
      <c r="E28" s="204">
        <v>2090</v>
      </c>
      <c r="F28" s="204">
        <v>121</v>
      </c>
      <c r="G28" s="204">
        <v>4550</v>
      </c>
      <c r="H28" s="204"/>
      <c r="I28" s="204"/>
      <c r="J28" s="205">
        <v>8009</v>
      </c>
    </row>
  </sheetData>
  <sheetProtection/>
  <mergeCells count="15">
    <mergeCell ref="A3:J3"/>
    <mergeCell ref="H1:J1"/>
    <mergeCell ref="A1:C1"/>
    <mergeCell ref="A4:J4"/>
    <mergeCell ref="H6:J6"/>
    <mergeCell ref="I7:I9"/>
    <mergeCell ref="J7:J9"/>
    <mergeCell ref="D8:D9"/>
    <mergeCell ref="E8:F8"/>
    <mergeCell ref="A7:A9"/>
    <mergeCell ref="B7:B9"/>
    <mergeCell ref="C7:C9"/>
    <mergeCell ref="D7:F7"/>
    <mergeCell ref="G7:G9"/>
    <mergeCell ref="H7:H9"/>
  </mergeCells>
  <printOptions/>
  <pageMargins left="0.7" right="0.34" top="0.51" bottom="0.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2021-05-13T08:20:30Z</cp:lastPrinted>
  <dcterms:created xsi:type="dcterms:W3CDTF">2019-03-06T09:20:07Z</dcterms:created>
  <dcterms:modified xsi:type="dcterms:W3CDTF">2022-04-20T03:25:23Z</dcterms:modified>
  <cp:category/>
  <cp:version/>
  <cp:contentType/>
  <cp:contentStatus/>
</cp:coreProperties>
</file>