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995" windowHeight="8070" activeTab="6"/>
  </bookViews>
  <sheets>
    <sheet name="BM 96 CK-NSNN" sheetId="1" r:id="rId1"/>
    <sheet name="BM 97 CK-NSNN" sheetId="2" r:id="rId2"/>
    <sheet name="BM 98-CK-NSNN" sheetId="3" r:id="rId3"/>
    <sheet name="BM 99 CK-NSNN" sheetId="4" r:id="rId4"/>
    <sheet name="BM 100 CK-NSNN" sheetId="5" r:id="rId5"/>
    <sheet name="BM 101 Ck-NSNN" sheetId="6" r:id="rId6"/>
    <sheet name="BM 102 CK-NSNN" sheetId="7" r:id="rId7"/>
    <sheet name="Sheet1" sheetId="8" r:id="rId8"/>
  </sheets>
  <definedNames>
    <definedName name="_xlnm.Print_Titles" localSheetId="4">'BM 100 CK-NSNN'!$7:$10</definedName>
    <definedName name="_xlnm.Print_Titles" localSheetId="5">'BM 101 Ck-NSNN'!$8:$10</definedName>
    <definedName name="_xlnm.Print_Titles" localSheetId="0">'BM 96 CK-NSNN'!$8:$8</definedName>
    <definedName name="_xlnm.Print_Titles" localSheetId="1">'BM 97 CK-NSNN'!$8:$10</definedName>
    <definedName name="_xlnm.Print_Titles" localSheetId="2">'BM 98-CK-NSNN'!$8:$9</definedName>
    <definedName name="_xlnm.Print_Titles" localSheetId="3">'BM 99 CK-NSNN'!$8:$9</definedName>
  </definedNames>
  <calcPr fullCalcOnLoad="1"/>
</workbook>
</file>

<file path=xl/sharedStrings.xml><?xml version="1.0" encoding="utf-8"?>
<sst xmlns="http://schemas.openxmlformats.org/spreadsheetml/2006/main" count="566" uniqueCount="356">
  <si>
    <t xml:space="preserve"> ỦY BAN NHÂN DÂN</t>
  </si>
  <si>
    <t>Biểu số 96/CK-NSNN</t>
  </si>
  <si>
    <t>Đơn vị: Triệu đồng</t>
  </si>
  <si>
    <t>STT</t>
  </si>
  <si>
    <t>Nội dung</t>
  </si>
  <si>
    <t xml:space="preserve">Dự toán </t>
  </si>
  <si>
    <t>Quyết toán</t>
  </si>
  <si>
    <t>So sánh (%)</t>
  </si>
  <si>
    <t>A</t>
  </si>
  <si>
    <t>B</t>
  </si>
  <si>
    <t>3=2/1</t>
  </si>
  <si>
    <t>Thu ngân sách huyện được hưởng theo phân cấp</t>
  </si>
  <si>
    <t>-</t>
  </si>
  <si>
    <t>Thu bổ sung từ ngân sách cấp tỉnh</t>
  </si>
  <si>
    <t>Thu bổ sung cân đối</t>
  </si>
  <si>
    <t>Thu bổ sung có mục tiêu</t>
  </si>
  <si>
    <t>Thu kết dư</t>
  </si>
  <si>
    <t>Thu chuyển nguồn từ năm trước chuyển sang</t>
  </si>
  <si>
    <t>Thu tạo nguồn thực hiện CCTL tăng thêm</t>
  </si>
  <si>
    <t> I</t>
  </si>
  <si>
    <t> 1</t>
  </si>
  <si>
    <t>Chi đầu tư phát triển</t>
  </si>
  <si>
    <t>Chi thường xuyên</t>
  </si>
  <si>
    <t>Chi nộp ngân sách cấp trên</t>
  </si>
  <si>
    <t>Dự phòng ngân sách</t>
  </si>
  <si>
    <t>II</t>
  </si>
  <si>
    <t>Chi chuyển nguồn sang năm sau</t>
  </si>
  <si>
    <t>Biểu số 97/CK-NSNN</t>
  </si>
  <si>
    <t>Dự toán</t>
  </si>
  <si>
    <t>Tổng thu NSNN</t>
  </si>
  <si>
    <t>5=3/1</t>
  </si>
  <si>
    <t>6=4/2</t>
  </si>
  <si>
    <t>TỔNG NGUỒN THU NSNN</t>
  </si>
  <si>
    <t>TỔNG THU CÂN ĐỐI NSNN</t>
  </si>
  <si>
    <t>I</t>
  </si>
  <si>
    <t>Thu nội địa</t>
  </si>
  <si>
    <t xml:space="preserve">Thu từ khu vực DNNN do Trung ương quản lý </t>
  </si>
  <si>
    <t xml:space="preserve">Thu từ khu vực DNNN do Địa phương quản lý </t>
  </si>
  <si>
    <t>Thuế giá trị gia tăng hàng sản xuất trong nước</t>
  </si>
  <si>
    <t>Thuế TTĐB hàng sản xuất trong nước</t>
  </si>
  <si>
    <t>Thuế thu nhập doanh nghiệp</t>
  </si>
  <si>
    <t>Thuế tài nguyên</t>
  </si>
  <si>
    <t>Thu khác</t>
  </si>
  <si>
    <t>Thuế môn bài</t>
  </si>
  <si>
    <t xml:space="preserve">Thu từ khu vực doanh nghiệp có vốn đầu tư nước ngoài </t>
  </si>
  <si>
    <t xml:space="preserve">Thu từ khu vực kinh tế ngoài quốc doanh </t>
  </si>
  <si>
    <t>Thuế giá trị gia tăng và TNDN</t>
  </si>
  <si>
    <t>Thuế thu nhập cá nhân</t>
  </si>
  <si>
    <t>Lệ phí trước bạ</t>
  </si>
  <si>
    <t>Thu phí, lệ phí</t>
  </si>
  <si>
    <t>Trong đó:</t>
  </si>
  <si>
    <t xml:space="preserve"> -</t>
  </si>
  <si>
    <t>Phí bảo vệ môi trường</t>
  </si>
  <si>
    <t>Lệ phí môn bài</t>
  </si>
  <si>
    <t>Thuế sử dụng đất nông nghiệp</t>
  </si>
  <si>
    <t>Thuế sử dụng đất phi nông nghiệp</t>
  </si>
  <si>
    <t>Tiền cho thuê đất, thuê mặt nước</t>
  </si>
  <si>
    <t>Thu tiền sử dụng đất</t>
  </si>
  <si>
    <t>Thu tại xã</t>
  </si>
  <si>
    <t>Thu huy động đóng góp</t>
  </si>
  <si>
    <t>Thu tiền bán, thuê, khấu hao nhà ở thuộc sở hữu nhà nước</t>
  </si>
  <si>
    <t>Thu tiền cấp quyền khai thác khoáng sản</t>
  </si>
  <si>
    <t>Thu khác ngân sách</t>
  </si>
  <si>
    <t>Trong đó: Thu phạt ATGT</t>
  </si>
  <si>
    <t>Thu viện trợ</t>
  </si>
  <si>
    <t>THU KẾT DƯ NĂM TRƯỚC</t>
  </si>
  <si>
    <t>C</t>
  </si>
  <si>
    <t>THU CHUYỂN NGUỒN TỪ NĂM TRƯỚC CHUYỂN SANG</t>
  </si>
  <si>
    <t>D</t>
  </si>
  <si>
    <t>THU TẠO NGUỒN THỰC HIỆN CCTL TĂNG THÊM</t>
  </si>
  <si>
    <t>E</t>
  </si>
  <si>
    <t>THU BS TỪ NS CẤP TRÊN</t>
  </si>
  <si>
    <t>Biểu số 98/CK-NSNN</t>
  </si>
  <si>
    <t>Bao gồm</t>
  </si>
  <si>
    <t>Ngân sách cấp huyện</t>
  </si>
  <si>
    <t>Ngân sách xã</t>
  </si>
  <si>
    <t>Ngân sách huyện</t>
  </si>
  <si>
    <t xml:space="preserve">Ngân sách xã </t>
  </si>
  <si>
    <t>1=2+3</t>
  </si>
  <si>
    <t>4=5+6</t>
  </si>
  <si>
    <t>7=4/1</t>
  </si>
  <si>
    <t>8=5/2</t>
  </si>
  <si>
    <t>9=6/3</t>
  </si>
  <si>
    <t>Chi đầu tư cho các dự án</t>
  </si>
  <si>
    <t>Trong đó chia theo lĩnh vực:</t>
  </si>
  <si>
    <t>Chi giáo dục - đào tạo và dạy nghề</t>
  </si>
  <si>
    <t>Chi khoa học và công nghệ</t>
  </si>
  <si>
    <t>Chi đầu tư phát triển khác</t>
  </si>
  <si>
    <t>III</t>
  </si>
  <si>
    <t>IV</t>
  </si>
  <si>
    <t>Trong đó chia theo nguồn vốn:</t>
  </si>
  <si>
    <t>Chi đầu tư từ nguồn thu tiền sử dụng đất</t>
  </si>
  <si>
    <t>CHI CÁC CHƯƠNG TRÌNH MỤC TIÊU</t>
  </si>
  <si>
    <t>Chi tạo nguồn, điều chỉnh tiền lương</t>
  </si>
  <si>
    <t>Chi các chương trình mục tiêu quốc gia</t>
  </si>
  <si>
    <t>Chi các chương trình mục tiêu, nhiệm vụ</t>
  </si>
  <si>
    <t>CHI CHUYỂN NGUỒN SANG NĂM SAU</t>
  </si>
  <si>
    <t>Chi các chương trình mục tiêu</t>
  </si>
  <si>
    <t>Thuế bảo vệ môi trường</t>
  </si>
  <si>
    <t>Thu từ hoạt động xổ số kiến thiết</t>
  </si>
  <si>
    <t>Chương trình giảm nghèo bền vững</t>
  </si>
  <si>
    <t>Chương trình Xây dựng nông thôn mới</t>
  </si>
  <si>
    <t>Chi nâng cấp đô thị loại IV</t>
  </si>
  <si>
    <t>Kinh phí thực hiện hỗ trợ bảo vệ và phát triển đất trồng lúa</t>
  </si>
  <si>
    <t>Kinh phí hỗ trợ tiền điện cho hộ nghèo, hộ chính sách xã hội</t>
  </si>
  <si>
    <t>Kinh phí trợ cấp một lần đối với người có thành tích tham gia kháng chiến theo QĐ số 24/2016/QĐ-TTg ngày 14/6/2016 của Thủ tướng Chính phủ</t>
  </si>
  <si>
    <t>Kinh phí thực hiện chính sách cấp bù thủy lợi phí</t>
  </si>
  <si>
    <t>V</t>
  </si>
  <si>
    <t>Biểu số 99/CK-NSNN</t>
  </si>
  <si>
    <t>CHI BỔ SUNG CÂN ĐỐI CHO NGÂN SÁCH XÃ</t>
  </si>
  <si>
    <t>CHI NGÂN SÁCH CẤP HUYỆN THEO LĨNH VỰC</t>
  </si>
  <si>
    <t>1.1</t>
  </si>
  <si>
    <t>1.2</t>
  </si>
  <si>
    <t>1.3</t>
  </si>
  <si>
    <t>Chi y tế, dân số và gia đình</t>
  </si>
  <si>
    <t>1.4</t>
  </si>
  <si>
    <t>Chi Văn hóa thông tin</t>
  </si>
  <si>
    <t>1.5</t>
  </si>
  <si>
    <t>Chi phát thanh, truyền hình, thông tấn</t>
  </si>
  <si>
    <t>1.6</t>
  </si>
  <si>
    <t>Chi thể dục thể thao</t>
  </si>
  <si>
    <t>1.7</t>
  </si>
  <si>
    <t>Chi bảo vệ môi trường</t>
  </si>
  <si>
    <t>1.8</t>
  </si>
  <si>
    <t>Chi các hoạt động kinh tế</t>
  </si>
  <si>
    <t>1.9</t>
  </si>
  <si>
    <t>Chi hoạt động của các cơ quan quản lý nhà nước, đảng, đoàn thể</t>
  </si>
  <si>
    <t>1.10</t>
  </si>
  <si>
    <t>Chi bảo đảm xã hội</t>
  </si>
  <si>
    <t>Chi y tế, dân số và gia đình</t>
  </si>
  <si>
    <t>Chi văn hóa thông tin, thể thao</t>
  </si>
  <si>
    <t>Chi phát thanh, truyền hình, thông tấn</t>
  </si>
  <si>
    <t>Chi bảo vệ môi trường</t>
  </si>
  <si>
    <t>Chi các hoạt động kinh tế</t>
  </si>
  <si>
    <t>Chi hoạt động của cơ quan quản lý nhà nước, đảng, đoàn thể</t>
  </si>
  <si>
    <t>Chi bảo đảm xã hội</t>
  </si>
  <si>
    <t>Chi khác</t>
  </si>
  <si>
    <t xml:space="preserve">Dự phòng ngân sách </t>
  </si>
  <si>
    <t>Biểu số 100/CK-NSNN</t>
  </si>
  <si>
    <t>TÊN ĐƠN VỊ</t>
  </si>
  <si>
    <t>DỰ TOÁN</t>
  </si>
  <si>
    <t>QUYẾT TOÁN</t>
  </si>
  <si>
    <t>SO SÁNH (%)</t>
  </si>
  <si>
    <t>TỔNG SỐ</t>
  </si>
  <si>
    <t>CHI ĐẦU TƯ PHÁT TRIỂN (KHÔNG KỂ CHƯƠNG TRÌNH MTQG)</t>
  </si>
  <si>
    <t>CHI THƯỜNG XUYÊN</t>
  </si>
  <si>
    <t>CHI KHÁC</t>
  </si>
  <si>
    <t>CHI THƯỜNG XUYÊN (KHÔNG KỂ CHƯƠNG TRÌNH MTQG)</t>
  </si>
  <si>
    <t>CHƯƠNG TRÌNH MTQG</t>
  </si>
  <si>
    <t>CHI CHUYỂN NGUỒN SANG NGÂN SÁCH NĂM SAU</t>
  </si>
  <si>
    <t>CHI ĐẦU TƯ PHÁT TRIỂN</t>
  </si>
  <si>
    <t>CÁC CƠ QUAN, TỔ CHỨC</t>
  </si>
  <si>
    <t>Phòng Kinh tế</t>
  </si>
  <si>
    <t>Phòng Tài chính - Kế hoạch</t>
  </si>
  <si>
    <t>Phòng Tài nguyên và Môi trường</t>
  </si>
  <si>
    <t>Phòng Tư pháp</t>
  </si>
  <si>
    <t>Thanh tra huyện</t>
  </si>
  <si>
    <t>Phòng Y tế</t>
  </si>
  <si>
    <t>Phòng Nội vụ</t>
  </si>
  <si>
    <t>Hội Nông dân</t>
  </si>
  <si>
    <t>Hội Cựu chiến binh</t>
  </si>
  <si>
    <t>BQL rừng phòng hộ</t>
  </si>
  <si>
    <t>Đội QL trật tự đô thị</t>
  </si>
  <si>
    <t>Hạt Kiểm lâm</t>
  </si>
  <si>
    <t>CHI DỰ PHÒNG NGÂN SÁCH</t>
  </si>
  <si>
    <t>CHI TẠO NGUỒN, ĐIỀU CHỈNH TIỀN LƯƠNG</t>
  </si>
  <si>
    <t>CHI BỔ SUNG CÓ MỤC TIÊU CHO NGÂN SÁCH XÃ</t>
  </si>
  <si>
    <t>Biểu số 101/CK-NSNN</t>
  </si>
  <si>
    <t>Tên đơn vị</t>
  </si>
  <si>
    <t>Tổng số</t>
  </si>
  <si>
    <t>Bổ sung cân đối</t>
  </si>
  <si>
    <t>Bổ sung có mục tiêu</t>
  </si>
  <si>
    <t>1</t>
  </si>
  <si>
    <t>2</t>
  </si>
  <si>
    <t>3</t>
  </si>
  <si>
    <t>Xã Hoài Sơn</t>
  </si>
  <si>
    <t>Xã Hoài Châu Bắc</t>
  </si>
  <si>
    <t>Xã Hoài Châu</t>
  </si>
  <si>
    <t>4</t>
  </si>
  <si>
    <t>5</t>
  </si>
  <si>
    <t>6</t>
  </si>
  <si>
    <t>7</t>
  </si>
  <si>
    <t>Xã Hoài Phú</t>
  </si>
  <si>
    <t>8</t>
  </si>
  <si>
    <t>9</t>
  </si>
  <si>
    <t>10</t>
  </si>
  <si>
    <t>11</t>
  </si>
  <si>
    <t>12</t>
  </si>
  <si>
    <t>Xã Hoài Hải</t>
  </si>
  <si>
    <t>13</t>
  </si>
  <si>
    <t>14</t>
  </si>
  <si>
    <t>15</t>
  </si>
  <si>
    <t>16</t>
  </si>
  <si>
    <t>17</t>
  </si>
  <si>
    <t>Xã Hoài Mỹ</t>
  </si>
  <si>
    <t>Bổ sung vốn đầu tư để thực hiện các chương trình mục tiêu, nhiệm vụ</t>
  </si>
  <si>
    <t>Bổ sung vốn sự nghiệp để thực hiện các chế độ, chính sách và nhiệm vụ theo quy định</t>
  </si>
  <si>
    <t>Bổ sung thực hiện các chương trình mục tiêu quốc gia</t>
  </si>
  <si>
    <t>Biểu số 102/CK-NSNN</t>
  </si>
  <si>
    <t>Trong đó</t>
  </si>
  <si>
    <t>Đầu tư phát triển</t>
  </si>
  <si>
    <t>Kinh phí sự nghiệp</t>
  </si>
  <si>
    <t>Vốn trong nước</t>
  </si>
  <si>
    <t>Vốn ngoài nước</t>
  </si>
  <si>
    <t>UBND xã Hoài Châu</t>
  </si>
  <si>
    <t>UBND xã Hoài Châu Bắc</t>
  </si>
  <si>
    <t>UBND xã Hoài Phú</t>
  </si>
  <si>
    <t>Đơn vị: 1.000 đồng</t>
  </si>
  <si>
    <t>Chương trình MTQG giảm nghèo bền vững</t>
  </si>
  <si>
    <t>Chương trình MTQG xây dựng nông thôn mới</t>
  </si>
  <si>
    <t>Chương trình mục tiêu phát triển lâm nghiệp bền vững</t>
  </si>
  <si>
    <t>5=7+13+19</t>
  </si>
  <si>
    <t>6=10+16+22</t>
  </si>
  <si>
    <t>7=8+9</t>
  </si>
  <si>
    <t>10=11+12</t>
  </si>
  <si>
    <t>13=14+15</t>
  </si>
  <si>
    <t>16=17+18</t>
  </si>
  <si>
    <t>19=20+21</t>
  </si>
  <si>
    <t>22=23+24</t>
  </si>
  <si>
    <t>25=4/1</t>
  </si>
  <si>
    <t>26=5/2</t>
  </si>
  <si>
    <t>27=6/3</t>
  </si>
  <si>
    <t>3=4+5+6</t>
  </si>
  <si>
    <t>12=13+14</t>
  </si>
  <si>
    <t>14=15+16+17</t>
  </si>
  <si>
    <t>18=12/1</t>
  </si>
  <si>
    <t>19=13/2</t>
  </si>
  <si>
    <t>20=14/3</t>
  </si>
  <si>
    <t>21=15/4</t>
  </si>
  <si>
    <t>22=16/5</t>
  </si>
  <si>
    <t>23=17/6</t>
  </si>
  <si>
    <t>VI</t>
  </si>
  <si>
    <t>CHI NỘP NGÂN SÁCH CẤP TRÊN</t>
  </si>
  <si>
    <t>CHI BỔ SUNG CÓ MỤC TIÊU CHO NS XÃ</t>
  </si>
  <si>
    <t>16=6/1</t>
  </si>
  <si>
    <t>17=7/2</t>
  </si>
  <si>
    <t>18=8/3</t>
  </si>
  <si>
    <t>19=9/4</t>
  </si>
  <si>
    <t xml:space="preserve">               ỦY BAN NHÂN DÂN</t>
  </si>
  <si>
    <t>THỊ XÃ HOÀI NHƠN</t>
  </si>
  <si>
    <t>TỔNG NGUỒN THU NGÂN SÁCH THỊ XÃ</t>
  </si>
  <si>
    <t>Thu ngân sách thị xã hưởng 100%</t>
  </si>
  <si>
    <t xml:space="preserve">Thu ngân sách thị xã hưởng từ các khoản thu phân chia </t>
  </si>
  <si>
    <t>TỔNG CHI NGÂN SÁCH THỊ XÃ</t>
  </si>
  <si>
    <t>Chi cân đối ngân sách thị xã</t>
  </si>
  <si>
    <t>Thu NS thị xã</t>
  </si>
  <si>
    <t xml:space="preserve">              THỊ XÃ HOÀI NHƠN</t>
  </si>
  <si>
    <t>CHI CÂN ĐỐI NGÂN SÁCH THỊ XÃ</t>
  </si>
  <si>
    <t>Hỗ trợ chi giám sát, phản biện xã hội</t>
  </si>
  <si>
    <t>Kinh phí thực hiện các chính sách cho học sinh khuyết tật</t>
  </si>
  <si>
    <t>Kinh phí hỗ trợ khắc phục thiệt hại do mưa lũ gây ra từ ngày 08/12/2018 đến ngày 12/12/2018</t>
  </si>
  <si>
    <t>Kinh phí thực hiện chính sách miễn giảm học phí, hỗ trợ chi phí học tập theo quy định tại Nghị định sô 86/2015/NĐ-CP ngày 02/10/2015 của CP</t>
  </si>
  <si>
    <t>Trung tâm dịch vụ nông nghiệp</t>
  </si>
  <si>
    <t xml:space="preserve"> THỊ XÃ HOÀI NHƠN</t>
  </si>
  <si>
    <t>(Kèm theo Quyết định số           /QĐ-UBND ngày        /        /2021 của UBND thị xã Hoài Nhơn)</t>
  </si>
  <si>
    <t>F</t>
  </si>
  <si>
    <t>THU TỪ NS CẤP DƯỚI NỘP LÊN</t>
  </si>
  <si>
    <t>Trang bị, ứng dụng CNTT và cải cách thủ tục hành chính</t>
  </si>
  <si>
    <t>Hỗ trợ kiến thiết thị chính; chỉnh trang, nâng cấp, phát triển môi trường, cảnh quan các đô thị; quảng bá, phát triển văn hóa - du lịch; xây dựng nông thôn mới kiểu mẫu</t>
  </si>
  <si>
    <t>Kinh phí thực hiện Chương trình" Sữa học đường trong các cơ sở giáo dục mầm non"</t>
  </si>
  <si>
    <t xml:space="preserve">Chi bổ sung thực hiện cải cách tiền lương </t>
  </si>
  <si>
    <t xml:space="preserve">Kinh phí thu mua đuôi chuột </t>
  </si>
  <si>
    <t>Chi công tác đảm bảo an toàn giao thông</t>
  </si>
  <si>
    <t>Chi tiếp xúc cử tri, hỗ trợ sinh hoạt Tổ Đại biểu HĐND tỉnh</t>
  </si>
  <si>
    <t>Bổ sung chi cho Ban Thanh tra nhân dân (do tăng mức chi từ 2 triệu đồng đến 5 triệu đồng)</t>
  </si>
  <si>
    <t>Hỗ trợ do bỏ quy định thu quỹ quốc phòng an ninh</t>
  </si>
  <si>
    <t>Kinh phí tăng thêm thực hiện Cuộc vận động "Toàn dân đoàn kết xây dựng nông thôn mới, đô thị văn minh"</t>
  </si>
  <si>
    <t>Hỗ trợ lực lượng quản lý đê nhân dân</t>
  </si>
  <si>
    <t xml:space="preserve">Hỗ trợ  kinh phí khắc phục hậu quả do mưa lớn giữa tháng 10 và bão số 5, 6 gây ra trên địa bàn </t>
  </si>
  <si>
    <t>Kinh phí hỗ trợ thành lập mới hợp tác xã</t>
  </si>
  <si>
    <t>Kinh phí hỗ trợ giá giống lúa thuần thực hiện chuyển đổi trên đất sản xuất 3 vụ lúa/năm vụ Thu năm 2020</t>
  </si>
  <si>
    <t>Kinh phí hỗ trợ giá cây trồng cạn sản xuất trên đất chuyên trồng lúa các vụ:  Hè Thu 2019, Thu Đông 2019, Đông Xuân 2019-2020, Hè Thu 2020 và Thu Đông 2020</t>
  </si>
  <si>
    <t>Kinh phí khắc phục hậu quả do mưa lũ năm 2020</t>
  </si>
  <si>
    <t>Kinh phí hỗ trợ cho hộ nghèo, hộ cận nghèo có nhà ở chính duy nhất bị sập, bị cuốn trôi hoàn toàn do các đợt mưa, bão số 9, 10, 12 năm 2020 gây ra(ngoài mức hỗ trợ theo Nghị quyết số 165/NQ-CP ngày 05/11/2020 của CP)</t>
  </si>
  <si>
    <t>Kinh phí hỗ trợ của Quỹ bảo vệ môi trường Việt Nam</t>
  </si>
  <si>
    <t>Thanh toán khối lượng hoàn thành các công trình, dự án trên địa bàn thị xã</t>
  </si>
  <si>
    <t>(Kèm theo Quyết định số            /QĐ-UBND ngày        của UBND thị xã Hoài Nhơn)</t>
  </si>
  <si>
    <t>Phòng Lao động - Thương binh và XH</t>
  </si>
  <si>
    <t>Phòng Quản lý đô thị</t>
  </si>
  <si>
    <t>Phòng Giáo dục</t>
  </si>
  <si>
    <t>Phòng Văn hóa - Thông tin</t>
  </si>
  <si>
    <t>Văn phòng Huyện ủy</t>
  </si>
  <si>
    <t>Hội Phụ nữ</t>
  </si>
  <si>
    <t>UBMT TQ Việt Nam</t>
  </si>
  <si>
    <t>Trung tâm giáo dục thường xuyên</t>
  </si>
  <si>
    <t>Trung tâm Văn hóa - Thông tin - thể thao</t>
  </si>
  <si>
    <t>Ban QL rừng phòng hộ</t>
  </si>
  <si>
    <t>BQL dự án ĐTXD và PTQĐ</t>
  </si>
  <si>
    <t>Ngân hàng chính sách XH huyện HN</t>
  </si>
  <si>
    <t>Hội Chữ thập đỏ</t>
  </si>
  <si>
    <t>Hội người cao tuổi</t>
  </si>
  <si>
    <t>Hội Cựu thanh niên xung phong</t>
  </si>
  <si>
    <t>Hội Bảo trợ người tàn tật và trẻ mồ côi</t>
  </si>
  <si>
    <t>Hợp tác xã và các tổ hợp tác dùng nước</t>
  </si>
  <si>
    <t>Quỹ hỗ trợ nông dân</t>
  </si>
  <si>
    <t>Hội cựu tù chính trị CM</t>
  </si>
  <si>
    <t>Hội Luật gia</t>
  </si>
  <si>
    <t>Chi đầu tư từ nguồn vốn đầu tư tập trung</t>
  </si>
  <si>
    <t>Thu NS cấp dưới nộp lên</t>
  </si>
  <si>
    <t>CÂN ĐỐI NGÂN SÁCH THỊ XÃ NĂM 2021</t>
  </si>
  <si>
    <t>(Kèm theo Quyết định số            /QĐ-UBND ngày       /       /2022 của UBND thị xã Hoài Nhơn)</t>
  </si>
  <si>
    <t>QUYẾT TOÁN NGUỒN THU NGÂN SÁCH NHÀ NƯỚC NĂM 2021</t>
  </si>
  <si>
    <t>(Kèm theo Quyết định số            /QĐ-UBND ngày         /       /2022 của UBND thị xã Hoài Nhơn)</t>
  </si>
  <si>
    <t>QUYẾT TOÁN CHI NGÂN SÁCH THỊ XÃ, CHI NGÂN SÁCH CẤP HUYỆN VÀ CHI NGÂN SÁCH XÃ THEO CƠ CẤU CHI NĂM 2021</t>
  </si>
  <si>
    <t>(Kèm theo Quyết định số           /QĐ-UBND ngày        /        /2022 của UBND thị xã Hoài Nhơn)</t>
  </si>
  <si>
    <t>Kinh phí thực hiện Chương trình mục tiêu phát triển Lâm nghiệp bền vững năm 2021 (Mã CTMT 00629)</t>
  </si>
  <si>
    <t>Trang bị, ứng dụng CNTT và cải cách thủ tục hành chính; phần mềm quản lý ngân sách</t>
  </si>
  <si>
    <t>Hỗ trợ kiến thiết thị chính; chỉnh trang, nâng cấp, phát triển môi trường, cảnh quan các đô thị; quảng bá, phát triển văn hóa - du lịch; xây dựng nông thôn mới nâng cao</t>
  </si>
  <si>
    <t>Thực hiện Luật người cao tuổi, khuyết tật và chính sách bảo trợ xã hội</t>
  </si>
  <si>
    <t>Lễ hội văn hóa miền núi</t>
  </si>
  <si>
    <t>Chi hỗ trợ cho đô thị loại V của các xã, thị trấn</t>
  </si>
  <si>
    <t>Kinh phí thực hiện dịch vụ chi trả trợ cấp cho đối tượng bảo trợ xã hội thông qua hệ thống bưu điện trên địa bàn thị xã</t>
  </si>
  <si>
    <t>Chi cộng tác viên công tác giảm nghèo ở xã đặc biệt khó khăn</t>
  </si>
  <si>
    <t>Hỗ trợ kinh phí chúc thọ, mừng thọ</t>
  </si>
  <si>
    <t>Bổ sung kinh phí do chuyển trạm thú y, trồng trọt và bảo vệ thực vật từ tỉnh sang cho huyện, thị xã, thành phố quản lý</t>
  </si>
  <si>
    <t>Hỗ trợ hoạt động tăng thêm cho Mặt trận Tổ quốc và các tổ chức chính trị - xã hội ở cấp xã, thôn, khu phố</t>
  </si>
  <si>
    <t>Kinh phí mua sắm thiết bị dạy học; bàn ghế lớp học; cải tạo, xây dựng nhà vệ sinh và cung cấp nước sạch trong các trường theo tinh thần chỉ đạo của Chính phủ tại Nghị quyết số 54/NQ-CP ngày 10/5/2018</t>
  </si>
  <si>
    <t>Kinh phí tặng quà Tết cho hộ nghèo nhân dịp Tết nguyên Đán Tân Sửu</t>
  </si>
  <si>
    <t>Kinh phí hoạt động phòng chống dịch Covid-19</t>
  </si>
  <si>
    <t>Kinh phí phục vụ bầu cử đại biểu Quốc hội khóa XV và đại biểu HĐND các cấp nhiệm kỳ 2021-2026</t>
  </si>
  <si>
    <t>Kinh phí thực hiện hỗ trợ làng nghề truyền thống được UBND tỉnh công nhận năm 2020</t>
  </si>
  <si>
    <t>Kinh phí hỗ trợ người hoạt động cách mạng từ trước Cách mạng tháng 8 năm 1945 cải thiện nhà ở đối với bà Nguyễn Thị Lự</t>
  </si>
  <si>
    <t>Kinh phí thực hiện Chương trình mục tiêu Tái cơ cấu kinh tế nông nghiệp và phòng chống giảm nhẹ thiên tai, ổn định đời sống dân cư</t>
  </si>
  <si>
    <t>Kinh phí hỗ trợ khắc phục thiệt hại do thiên tai gây ra năm 2020</t>
  </si>
  <si>
    <t>Kinh phí bồi dưỡng báo cáo viên là giáo viên cốt cán và cán bộ quản lý cốt cán làm nhiệm vụ hỗ trợ cho giáo viên phổ thông và cán bộ quản lý cơ sở giáo dục phổ thông đại trà bồi dưỡng chương trình giáo dục phổ thông mới năm 2021</t>
  </si>
  <si>
    <t>Kinh phí thực hiện công tác phòng chống dịch Covid-19</t>
  </si>
  <si>
    <t>Kinh phí hỗ trợ thực hiện chương trình nông thôn mới nâng cao năm 2021</t>
  </si>
  <si>
    <t>Kinh phí thực hiện hỗ trợ người có công cách mạng khó khăn về nhà ở</t>
  </si>
  <si>
    <t>Kinh phí hỗ trợ người sử dụng dịch vụ hỏa táng theo quy định tại Quyết định số 39/2021/QĐ-UBND ngày 27/7/2021 của UBND tỉnh</t>
  </si>
  <si>
    <t>Kinh phí thực hiện chính sách kiên cố hóa kênh mương năm 2020 trên địa bàn tỉnh (kp hỗ trợ bằng tiền)</t>
  </si>
  <si>
    <t>Chuyển tạm ứng thành cấp phát kinh phí thực hiện hỗ trợ thiệt hại về nhà ở của người dân trên địa bàn tỉnh theo quy định tại Nghị quyết số 165/NĐ-CP ngày 05/11/2020 của Chính phủ</t>
  </si>
  <si>
    <t>QUYẾT TOÁN CHI NGÂN SÁCH CẤP HUYỆN THEO TỪNG LĨNH VỰC
NĂM 2021</t>
  </si>
  <si>
    <t>QUYẾT TOÁN CHI NGÂN SÁCH CẤP HUYỆN CHO TỪNG CƠ QUAN, TỔ CHỨC NĂM 2021</t>
  </si>
  <si>
    <t>(Kèm theo Quyết định số   /QĐ-UBND ngày              /     /2022 của UBND thị xã Hoài Nhơn)</t>
  </si>
  <si>
    <t xml:space="preserve">VP HĐND và UBND </t>
  </si>
  <si>
    <t>Trung tâm bồi dưỡng chính trị</t>
  </si>
  <si>
    <t>Thị đoàn</t>
  </si>
  <si>
    <t>Ban Quản lý dự án ĐTXD và PTQĐ</t>
  </si>
  <si>
    <t>QUYẾT TOÁN CHI BỔ SUNG TỪ NGÂN SÁCH CẤP HUYỆN
CHO NGÂN SÁCH TỪNG XÃ NĂM 2021</t>
  </si>
  <si>
    <t>(Kèm theo Quyết định số        /QĐ-UBND ngày        /         / 2022   của UBND thị xã Hoài Nhơn)</t>
  </si>
  <si>
    <t>Phường Tam Quan</t>
  </si>
  <si>
    <t>Phường Tam Quan Bắc</t>
  </si>
  <si>
    <t>Phường Tam Quan Nam</t>
  </si>
  <si>
    <t>Phường Hoài Hảo</t>
  </si>
  <si>
    <t>Phường Hoài Thanh Tây</t>
  </si>
  <si>
    <t>Phường Hoài Thanh</t>
  </si>
  <si>
    <t>Phường Hoài Hương</t>
  </si>
  <si>
    <t>Phường Hoài Xuân</t>
  </si>
  <si>
    <t>Phường Hoài Tân</t>
  </si>
  <si>
    <t>Phường Bồng Sơn</t>
  </si>
  <si>
    <t>Phường Hoài Đức</t>
  </si>
  <si>
    <t>QUYẾT TOÁN CHI CHƯƠNG TRÌNH MỤC TIÊU QUỐC GIA NGÂN SÁCH CẤP HUYỆN VÀ NGÂN SÁCH XÃ NĂM 2021</t>
  </si>
  <si>
    <t>UBND xã Hoài Sơn</t>
  </si>
  <si>
    <t>UBND xã Hoài Hải</t>
  </si>
  <si>
    <t>UBND xã Hoài Mỹ</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</si>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</sst>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_-* #,##0\ _₫_-;\-* #,##0\ _₫_-;_-* &quot;-&quot;??\ _₫_-;_-@_-"/>
    <numFmt numFmtId="167" formatCode="_(* #,##0_);_(* \(#,##0\);_(* &quot;-&quot;??_);_(@_)"/>
  </numFmts>
  <fonts count="70">
    <font>
      <sz val="11"/>
      <color theme="1"/>
      <name val="Calibri"/>
      <family val="2"/>
    </font>
    <font>
      <sz val="11"/>
      <color indexed="8"/>
      <name val="Calibri"/>
      <family val="2"/>
    </font>
    <font>
      <b/>
      <sz val="12"/>
      <color indexed="8"/>
      <name val="Times New Roman"/>
      <family val="1"/>
    </font>
    <font>
      <sz val="12"/>
      <name val="Times New Roman"/>
      <family val="1"/>
    </font>
    <font>
      <sz val="12"/>
      <color indexed="8"/>
      <name val="Times New Roman"/>
      <family val="1"/>
    </font>
    <font>
      <b/>
      <sz val="14"/>
      <color indexed="8"/>
      <name val="Times New Roman"/>
      <family val="1"/>
    </font>
    <font>
      <sz val="14"/>
      <name val="Times New Roman"/>
      <family val="1"/>
    </font>
    <font>
      <i/>
      <sz val="12"/>
      <color indexed="8"/>
      <name val="Times New Roman"/>
      <family val="1"/>
    </font>
    <font>
      <b/>
      <sz val="12"/>
      <name val="Times New Roman"/>
      <family val="1"/>
    </font>
    <font>
      <i/>
      <sz val="10"/>
      <name val="Times New Roman"/>
      <family val="1"/>
    </font>
    <font>
      <i/>
      <sz val="12"/>
      <name val="Times New Roman"/>
      <family val="1"/>
    </font>
    <font>
      <b/>
      <sz val="11"/>
      <color indexed="8"/>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sz val="10"/>
      <name val="Times New Roman"/>
      <family val="1"/>
    </font>
    <font>
      <b/>
      <sz val="10"/>
      <name val="Times New Roman"/>
      <family val="1"/>
    </font>
    <font>
      <b/>
      <sz val="10"/>
      <color indexed="8"/>
      <name val="Times New Roman"/>
      <family val="1"/>
    </font>
    <font>
      <b/>
      <sz val="9"/>
      <name val="Times New Roman"/>
      <family val="1"/>
    </font>
    <font>
      <sz val="9"/>
      <name val="Times New Roman"/>
      <family val="1"/>
    </font>
    <font>
      <i/>
      <sz val="9"/>
      <name val="Times New Roman"/>
      <family val="1"/>
    </font>
    <font>
      <b/>
      <i/>
      <sz val="9"/>
      <name val="Times New Roman"/>
      <family val="1"/>
    </font>
    <font>
      <b/>
      <sz val="9"/>
      <color indexed="8"/>
      <name val="Times New Roman"/>
      <family val="1"/>
    </font>
    <font>
      <sz val="9"/>
      <name val="Cambria"/>
      <family val="1"/>
    </font>
    <font>
      <sz val="9"/>
      <color indexed="8"/>
      <name val="Times New Roman"/>
      <family val="1"/>
    </font>
    <font>
      <i/>
      <sz val="10"/>
      <color indexed="8"/>
      <name val="Times New Roman"/>
      <family val="1"/>
    </font>
    <font>
      <b/>
      <sz val="14"/>
      <name val="Times New Roman"/>
      <family val="1"/>
    </font>
    <font>
      <i/>
      <sz val="14"/>
      <name val="Times New Roman"/>
      <family val="1"/>
    </font>
    <font>
      <i/>
      <sz val="9"/>
      <color indexed="8"/>
      <name val="Times New Roman"/>
      <family val="1"/>
    </font>
    <font>
      <i/>
      <sz val="9"/>
      <name val="Cambria"/>
      <family val="1"/>
    </font>
    <font>
      <sz val="11"/>
      <name val="Cambria"/>
      <family val="1"/>
    </font>
    <font>
      <sz val="12"/>
      <name val="VNI-Times"/>
      <family val="0"/>
    </font>
    <font>
      <b/>
      <sz val="13"/>
      <color indexed="8"/>
      <name val="Times New Roman"/>
      <family val="1"/>
    </font>
    <font>
      <b/>
      <sz val="10"/>
      <color indexed="10"/>
      <name val="Times New Roman"/>
      <family val="1"/>
    </font>
    <font>
      <sz val="11"/>
      <color indexed="8"/>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thin"/>
      <bottom/>
    </border>
    <border>
      <left style="thin"/>
      <right style="thin"/>
      <top style="hair"/>
      <bottom/>
    </border>
    <border>
      <left/>
      <right/>
      <top/>
      <bottom style="thin"/>
    </border>
    <border>
      <left style="thin">
        <color rgb="FF000000"/>
      </left>
      <right style="thin">
        <color rgb="FF000000"/>
      </right>
      <top style="hair">
        <color rgb="FF000000"/>
      </top>
      <bottom style="hair">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hair">
        <color rgb="FF000000"/>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8" borderId="2"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4">
    <xf numFmtId="0" fontId="0" fillId="0" borderId="0" xfId="0" applyFont="1" applyAlignment="1">
      <alignment/>
    </xf>
    <xf numFmtId="0" fontId="2" fillId="0" borderId="0" xfId="0" applyFont="1" applyAlignment="1">
      <alignment horizontal="right" vertical="center"/>
    </xf>
    <xf numFmtId="164" fontId="3" fillId="0" borderId="0" xfId="0" applyNumberFormat="1" applyFont="1" applyAlignment="1">
      <alignment vertical="center"/>
    </xf>
    <xf numFmtId="0" fontId="3" fillId="0" borderId="0" xfId="0" applyFont="1" applyAlignment="1">
      <alignment vertical="center"/>
    </xf>
    <xf numFmtId="164" fontId="2" fillId="0" borderId="0" xfId="0" applyNumberFormat="1"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0" xfId="0" applyNumberFormat="1" applyFont="1" applyAlignment="1">
      <alignment vertical="center"/>
    </xf>
    <xf numFmtId="0" fontId="8" fillId="0" borderId="10" xfId="0" applyFont="1" applyBorder="1" applyAlignment="1">
      <alignment vertical="center" wrapText="1"/>
    </xf>
    <xf numFmtId="164" fontId="8" fillId="0" borderId="10" xfId="0" applyNumberFormat="1" applyFont="1" applyBorder="1" applyAlignment="1">
      <alignment vertical="center" wrapText="1"/>
    </xf>
    <xf numFmtId="0" fontId="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164" fontId="3" fillId="0" borderId="10" xfId="0" applyNumberFormat="1" applyFont="1" applyBorder="1" applyAlignment="1">
      <alignment vertical="center" wrapText="1"/>
    </xf>
    <xf numFmtId="0" fontId="10" fillId="0" borderId="11" xfId="0" applyFont="1" applyBorder="1" applyAlignment="1">
      <alignment vertical="center" wrapText="1"/>
    </xf>
    <xf numFmtId="0" fontId="10" fillId="0" borderId="0" xfId="0" applyFont="1" applyAlignment="1">
      <alignment vertical="center"/>
    </xf>
    <xf numFmtId="0" fontId="10" fillId="0" borderId="12" xfId="0" applyFont="1" applyBorder="1" applyAlignment="1">
      <alignment vertical="center" wrapText="1"/>
    </xf>
    <xf numFmtId="0" fontId="10" fillId="0" borderId="0" xfId="0" applyFont="1" applyAlignment="1">
      <alignment vertical="center"/>
    </xf>
    <xf numFmtId="0" fontId="2"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64" fontId="3" fillId="0" borderId="11" xfId="0" applyNumberFormat="1"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164" fontId="3" fillId="0" borderId="13" xfId="0" applyNumberFormat="1" applyFont="1" applyBorder="1" applyAlignment="1">
      <alignment vertical="center" wrapText="1"/>
    </xf>
    <xf numFmtId="164" fontId="3" fillId="0" borderId="12" xfId="0" applyNumberFormat="1"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64" fontId="3" fillId="0" borderId="11" xfId="0" applyNumberFormat="1" applyFont="1" applyBorder="1" applyAlignment="1">
      <alignment vertical="center" wrapText="1"/>
    </xf>
    <xf numFmtId="0" fontId="3" fillId="0" borderId="0" xfId="0" applyFont="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164" fontId="3" fillId="0" borderId="12" xfId="0" applyNumberFormat="1" applyFont="1" applyBorder="1" applyAlignment="1">
      <alignment vertical="center" wrapText="1"/>
    </xf>
    <xf numFmtId="164" fontId="4" fillId="0" borderId="0" xfId="0" applyNumberFormat="1" applyFont="1" applyAlignment="1">
      <alignment horizontal="center" vertical="center"/>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9" fillId="0" borderId="0" xfId="0" applyNumberFormat="1" applyFont="1" applyAlignment="1">
      <alignment horizontal="center" vertical="center"/>
    </xf>
    <xf numFmtId="164" fontId="3" fillId="0" borderId="10"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165" fontId="3" fillId="0" borderId="0" xfId="41" applyNumberFormat="1" applyFont="1" applyAlignment="1">
      <alignment vertical="center"/>
    </xf>
    <xf numFmtId="0" fontId="10" fillId="0" borderId="11" xfId="0" applyFont="1" applyBorder="1" applyAlignment="1" quotePrefix="1">
      <alignment horizontal="center" vertical="center" wrapText="1"/>
    </xf>
    <xf numFmtId="164" fontId="3" fillId="0" borderId="11"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0" fontId="10" fillId="0" borderId="13" xfId="0" applyFont="1" applyBorder="1" applyAlignment="1" quotePrefix="1">
      <alignment horizontal="center" vertical="center" wrapText="1"/>
    </xf>
    <xf numFmtId="0" fontId="10" fillId="0" borderId="13" xfId="0" applyFont="1" applyBorder="1" applyAlignment="1">
      <alignment vertical="center" wrapText="1"/>
    </xf>
    <xf numFmtId="164" fontId="3" fillId="0" borderId="13"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0" fontId="10" fillId="0" borderId="12" xfId="0" applyFont="1" applyBorder="1" applyAlignment="1" quotePrefix="1">
      <alignment horizontal="center" vertical="center" wrapText="1"/>
    </xf>
    <xf numFmtId="164" fontId="3" fillId="0" borderId="12"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0" fontId="10" fillId="0" borderId="10" xfId="0" applyFont="1" applyBorder="1" applyAlignment="1" quotePrefix="1">
      <alignment horizontal="center"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164" fontId="10"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164" fontId="8" fillId="0" borderId="10" xfId="0" applyNumberFormat="1" applyFont="1" applyBorder="1" applyAlignment="1">
      <alignment vertical="center"/>
    </xf>
    <xf numFmtId="0" fontId="8" fillId="0" borderId="10" xfId="0" applyFont="1" applyBorder="1" applyAlignment="1">
      <alignment vertical="center"/>
    </xf>
    <xf numFmtId="0" fontId="3" fillId="0" borderId="12" xfId="0" applyFont="1" applyBorder="1" applyAlignment="1">
      <alignment vertical="center"/>
    </xf>
    <xf numFmtId="164" fontId="3" fillId="0" borderId="12" xfId="0" applyNumberFormat="1" applyFont="1" applyBorder="1" applyAlignment="1">
      <alignment vertical="center"/>
    </xf>
    <xf numFmtId="166" fontId="3" fillId="0" borderId="0" xfId="41" applyNumberFormat="1" applyFont="1" applyAlignment="1">
      <alignment vertical="center"/>
    </xf>
    <xf numFmtId="166" fontId="8" fillId="0" borderId="0" xfId="0" applyNumberFormat="1" applyFont="1" applyAlignment="1">
      <alignment vertical="center"/>
    </xf>
    <xf numFmtId="166" fontId="3" fillId="0" borderId="0" xfId="0" applyNumberFormat="1" applyFont="1" applyAlignment="1">
      <alignment vertical="center"/>
    </xf>
    <xf numFmtId="0" fontId="12" fillId="0" borderId="0" xfId="0" applyFont="1" applyAlignment="1">
      <alignment vertical="center"/>
    </xf>
    <xf numFmtId="0" fontId="14"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4" fillId="0" borderId="11" xfId="0" applyFont="1" applyBorder="1" applyAlignment="1">
      <alignment vertical="center" wrapText="1"/>
    </xf>
    <xf numFmtId="164" fontId="16" fillId="0" borderId="13" xfId="0" applyNumberFormat="1"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164" fontId="16" fillId="0" borderId="0" xfId="0" applyNumberFormat="1" applyFont="1" applyAlignment="1">
      <alignment vertical="center"/>
    </xf>
    <xf numFmtId="164" fontId="17" fillId="0" borderId="10" xfId="0" applyNumberFormat="1" applyFont="1" applyBorder="1" applyAlignment="1">
      <alignment horizontal="center" vertical="center" wrapText="1"/>
    </xf>
    <xf numFmtId="164" fontId="16" fillId="0" borderId="11" xfId="0" applyNumberFormat="1" applyFont="1" applyBorder="1" applyAlignment="1">
      <alignment horizontal="center" vertical="center" wrapText="1"/>
    </xf>
    <xf numFmtId="164" fontId="16" fillId="0" borderId="13" xfId="0" applyNumberFormat="1" applyFont="1" applyBorder="1" applyAlignment="1">
      <alignment vertical="center"/>
    </xf>
    <xf numFmtId="0" fontId="16" fillId="0" borderId="13" xfId="0" applyFont="1" applyBorder="1" applyAlignment="1">
      <alignment vertical="center"/>
    </xf>
    <xf numFmtId="164" fontId="16" fillId="0" borderId="12" xfId="0" applyNumberFormat="1" applyFont="1" applyBorder="1" applyAlignment="1">
      <alignment horizontal="center" vertical="center" wrapText="1"/>
    </xf>
    <xf numFmtId="0" fontId="16" fillId="0" borderId="12" xfId="0" applyFont="1" applyBorder="1" applyAlignment="1">
      <alignment vertical="center"/>
    </xf>
    <xf numFmtId="164" fontId="16" fillId="0" borderId="12" xfId="0" applyNumberFormat="1" applyFont="1" applyBorder="1" applyAlignment="1">
      <alignment vertical="center"/>
    </xf>
    <xf numFmtId="0" fontId="19" fillId="0" borderId="0" xfId="0" applyFont="1" applyAlignment="1">
      <alignment vertical="center"/>
    </xf>
    <xf numFmtId="0" fontId="19" fillId="0" borderId="0" xfId="0" applyFont="1" applyAlignment="1">
      <alignment horizontal="right" vertical="center"/>
    </xf>
    <xf numFmtId="164" fontId="20" fillId="0" borderId="0" xfId="0" applyNumberFormat="1" applyFont="1" applyAlignment="1">
      <alignment vertical="center"/>
    </xf>
    <xf numFmtId="164" fontId="19" fillId="0" borderId="0" xfId="0" applyNumberFormat="1"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164" fontId="19" fillId="0" borderId="10" xfId="0" applyNumberFormat="1" applyFont="1" applyFill="1" applyBorder="1" applyAlignment="1">
      <alignment horizontal="center" vertical="center" wrapText="1"/>
    </xf>
    <xf numFmtId="0" fontId="19" fillId="0" borderId="0" xfId="0" applyFont="1" applyFill="1" applyAlignment="1">
      <alignment vertical="center"/>
    </xf>
    <xf numFmtId="164" fontId="19" fillId="0" borderId="10"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0" xfId="0" applyNumberFormat="1" applyFont="1" applyAlignment="1">
      <alignment vertical="center"/>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164" fontId="19" fillId="33" borderId="14" xfId="0" applyNumberFormat="1" applyFont="1" applyFill="1" applyBorder="1" applyAlignment="1">
      <alignment horizontal="center" vertical="center" wrapText="1"/>
    </xf>
    <xf numFmtId="164" fontId="19" fillId="0" borderId="14" xfId="0" applyNumberFormat="1" applyFont="1" applyBorder="1" applyAlignment="1">
      <alignment horizontal="center" vertical="center" wrapText="1"/>
    </xf>
    <xf numFmtId="164" fontId="19" fillId="0" borderId="15" xfId="0" applyNumberFormat="1" applyFont="1" applyBorder="1" applyAlignment="1">
      <alignment horizontal="center" vertical="center" wrapText="1"/>
    </xf>
    <xf numFmtId="0" fontId="19" fillId="33" borderId="0" xfId="0" applyFont="1" applyFill="1" applyAlignment="1">
      <alignment vertical="center"/>
    </xf>
    <xf numFmtId="0" fontId="23" fillId="34" borderId="10" xfId="0" applyFont="1" applyFill="1" applyBorder="1" applyAlignment="1">
      <alignment horizontal="center" vertical="center" wrapText="1"/>
    </xf>
    <xf numFmtId="167" fontId="23" fillId="34" borderId="10" xfId="41" applyNumberFormat="1" applyFont="1" applyFill="1" applyBorder="1" applyAlignment="1">
      <alignment vertical="center" wrapText="1"/>
    </xf>
    <xf numFmtId="0" fontId="25" fillId="34" borderId="13" xfId="0" applyFont="1" applyFill="1" applyBorder="1" applyAlignment="1">
      <alignment horizontal="center" vertical="center" wrapText="1"/>
    </xf>
    <xf numFmtId="164" fontId="20" fillId="0" borderId="13" xfId="0" applyNumberFormat="1" applyFont="1" applyBorder="1" applyAlignment="1">
      <alignment horizontal="center" vertical="center" wrapText="1"/>
    </xf>
    <xf numFmtId="167" fontId="25" fillId="34" borderId="13" xfId="41" applyNumberFormat="1" applyFont="1" applyFill="1" applyBorder="1" applyAlignment="1">
      <alignment vertical="center" wrapText="1"/>
    </xf>
    <xf numFmtId="164" fontId="20" fillId="0" borderId="13" xfId="0" applyNumberFormat="1" applyFont="1" applyBorder="1" applyAlignment="1">
      <alignment vertical="center"/>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167" fontId="25" fillId="34" borderId="12" xfId="41" applyNumberFormat="1" applyFont="1" applyFill="1" applyBorder="1" applyAlignment="1">
      <alignment vertical="center" wrapText="1"/>
    </xf>
    <xf numFmtId="164" fontId="20" fillId="0" borderId="12" xfId="0" applyNumberFormat="1" applyFont="1" applyBorder="1" applyAlignment="1">
      <alignment horizontal="center" vertical="center" wrapText="1"/>
    </xf>
    <xf numFmtId="0" fontId="20" fillId="0" borderId="12" xfId="0" applyFont="1" applyBorder="1" applyAlignment="1">
      <alignment vertical="center"/>
    </xf>
    <xf numFmtId="164" fontId="20" fillId="0" borderId="12" xfId="0" applyNumberFormat="1" applyFont="1" applyBorder="1" applyAlignment="1">
      <alignment vertical="center"/>
    </xf>
    <xf numFmtId="164" fontId="21" fillId="0" borderId="16" xfId="0" applyNumberFormat="1" applyFont="1" applyBorder="1" applyAlignment="1">
      <alignment vertical="center"/>
    </xf>
    <xf numFmtId="0" fontId="15" fillId="0" borderId="0" xfId="0" applyFont="1" applyAlignment="1">
      <alignment vertical="center"/>
    </xf>
    <xf numFmtId="0" fontId="26" fillId="0" borderId="0" xfId="0" applyFont="1"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wrapText="1"/>
    </xf>
    <xf numFmtId="164" fontId="17" fillId="0" borderId="14"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164" fontId="16" fillId="0" borderId="11" xfId="0" applyNumberFormat="1" applyFont="1" applyBorder="1" applyAlignment="1">
      <alignment vertical="center" wrapText="1"/>
    </xf>
    <xf numFmtId="0" fontId="16" fillId="0" borderId="13" xfId="0" applyFont="1" applyBorder="1" applyAlignment="1">
      <alignment horizontal="center" vertical="center" wrapText="1"/>
    </xf>
    <xf numFmtId="0" fontId="16" fillId="0" borderId="13" xfId="0" applyFont="1" applyBorder="1" applyAlignment="1">
      <alignment vertical="center" wrapText="1"/>
    </xf>
    <xf numFmtId="164" fontId="16" fillId="0" borderId="13" xfId="0" applyNumberFormat="1" applyFont="1" applyBorder="1" applyAlignment="1">
      <alignment vertical="center" wrapText="1"/>
    </xf>
    <xf numFmtId="0" fontId="16" fillId="0" borderId="13" xfId="0" applyFont="1" applyBorder="1" applyAlignment="1">
      <alignment horizontal="left" vertical="center" wrapText="1"/>
    </xf>
    <xf numFmtId="0" fontId="16" fillId="0" borderId="12" xfId="0" applyFont="1" applyBorder="1" applyAlignment="1">
      <alignment horizontal="center" vertical="center" wrapText="1"/>
    </xf>
    <xf numFmtId="164" fontId="16" fillId="0" borderId="12" xfId="0" applyNumberFormat="1" applyFont="1" applyBorder="1" applyAlignment="1">
      <alignment vertical="center" wrapText="1"/>
    </xf>
    <xf numFmtId="164" fontId="18" fillId="0" borderId="0" xfId="0" applyNumberFormat="1" applyFont="1" applyAlignment="1">
      <alignment vertical="center"/>
    </xf>
    <xf numFmtId="164" fontId="26" fillId="0" borderId="16" xfId="0" applyNumberFormat="1" applyFont="1" applyBorder="1" applyAlignment="1">
      <alignment vertical="center"/>
    </xf>
    <xf numFmtId="164" fontId="20" fillId="0" borderId="0" xfId="0" applyNumberFormat="1" applyFont="1" applyFill="1" applyAlignment="1">
      <alignment vertical="center"/>
    </xf>
    <xf numFmtId="0" fontId="20" fillId="0" borderId="0" xfId="0" applyFont="1" applyFill="1" applyAlignment="1">
      <alignment vertical="center"/>
    </xf>
    <xf numFmtId="164" fontId="19" fillId="0" borderId="0" xfId="0" applyNumberFormat="1" applyFont="1" applyFill="1" applyAlignment="1">
      <alignment horizontal="right" vertical="center"/>
    </xf>
    <xf numFmtId="164" fontId="20"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0" xfId="0" applyNumberFormat="1" applyFont="1" applyFill="1" applyAlignment="1">
      <alignment vertical="center"/>
    </xf>
    <xf numFmtId="0" fontId="19" fillId="0"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vertical="center" wrapText="1"/>
    </xf>
    <xf numFmtId="164" fontId="20" fillId="0" borderId="13"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164" fontId="20" fillId="0" borderId="15"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5" fillId="0" borderId="0" xfId="0" applyFont="1" applyAlignment="1">
      <alignment vertical="center"/>
    </xf>
    <xf numFmtId="164" fontId="8" fillId="0" borderId="10"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19" fillId="0" borderId="10" xfId="0" applyNumberFormat="1"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2" fillId="0" borderId="11" xfId="0" applyFont="1" applyFill="1" applyBorder="1" applyAlignment="1">
      <alignment horizontal="center" vertical="center" wrapText="1"/>
    </xf>
    <xf numFmtId="0" fontId="22" fillId="0" borderId="11" xfId="0" applyFont="1" applyFill="1" applyBorder="1" applyAlignment="1">
      <alignment vertical="center" wrapText="1"/>
    </xf>
    <xf numFmtId="164"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3" fontId="19" fillId="0" borderId="10" xfId="0" applyNumberFormat="1" applyFont="1" applyFill="1" applyBorder="1" applyAlignment="1">
      <alignment horizontal="center" vertical="center" wrapText="1"/>
    </xf>
    <xf numFmtId="0" fontId="19" fillId="0" borderId="0" xfId="0" applyFont="1" applyFill="1" applyAlignment="1">
      <alignment vertical="center"/>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29" fillId="34" borderId="13" xfId="0" applyFont="1" applyFill="1" applyBorder="1" applyAlignment="1">
      <alignment horizontal="center" vertical="center" wrapText="1"/>
    </xf>
    <xf numFmtId="0" fontId="30" fillId="33" borderId="13" xfId="0" applyFont="1" applyFill="1" applyBorder="1" applyAlignment="1">
      <alignment horizontal="left" vertical="center" wrapText="1"/>
    </xf>
    <xf numFmtId="164" fontId="21" fillId="0" borderId="13" xfId="0" applyNumberFormat="1" applyFont="1" applyBorder="1" applyAlignment="1">
      <alignment horizontal="center" vertical="center" wrapText="1"/>
    </xf>
    <xf numFmtId="166" fontId="21" fillId="0" borderId="13" xfId="41" applyNumberFormat="1" applyFont="1" applyBorder="1" applyAlignment="1">
      <alignment horizontal="center" vertical="center" wrapText="1"/>
    </xf>
    <xf numFmtId="0" fontId="21" fillId="0" borderId="0" xfId="0" applyFont="1" applyAlignment="1">
      <alignment vertical="center"/>
    </xf>
    <xf numFmtId="0" fontId="14" fillId="0" borderId="10" xfId="0" applyFont="1" applyBorder="1" applyAlignment="1">
      <alignment vertical="center" wrapText="1"/>
    </xf>
    <xf numFmtId="164" fontId="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0" xfId="0" applyNumberFormat="1" applyFont="1" applyFill="1" applyBorder="1" applyAlignment="1">
      <alignment horizontal="center" vertical="center" wrapText="1"/>
    </xf>
    <xf numFmtId="166" fontId="16" fillId="0" borderId="0" xfId="41" applyNumberFormat="1" applyFont="1" applyAlignment="1">
      <alignment vertical="center"/>
    </xf>
    <xf numFmtId="166" fontId="16" fillId="0" borderId="0" xfId="0" applyNumberFormat="1" applyFont="1" applyAlignment="1">
      <alignment vertical="center"/>
    </xf>
    <xf numFmtId="164" fontId="20" fillId="0" borderId="11" xfId="0" applyNumberFormat="1" applyFont="1" applyBorder="1" applyAlignment="1">
      <alignment horizontal="center" vertical="center" wrapText="1"/>
    </xf>
    <xf numFmtId="0" fontId="31" fillId="0" borderId="17" xfId="0" applyFont="1" applyBorder="1" applyAlignment="1">
      <alignment horizontal="center" vertical="center" wrapText="1"/>
    </xf>
    <xf numFmtId="0" fontId="12" fillId="0" borderId="17" xfId="55" applyFont="1" applyBorder="1" applyAlignment="1">
      <alignment horizontal="left" vertical="center" wrapText="1"/>
      <protection/>
    </xf>
    <xf numFmtId="164" fontId="19" fillId="0" borderId="10" xfId="0" applyNumberFormat="1" applyFont="1" applyFill="1" applyBorder="1" applyAlignment="1">
      <alignment horizontal="center" vertical="center" wrapText="1"/>
    </xf>
    <xf numFmtId="164" fontId="8"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164" fontId="18" fillId="0" borderId="0" xfId="0" applyNumberFormat="1" applyFont="1" applyAlignment="1">
      <alignment horizontal="center" vertical="center"/>
    </xf>
    <xf numFmtId="164" fontId="17" fillId="0" borderId="10" xfId="0" applyNumberFormat="1" applyFont="1" applyBorder="1" applyAlignment="1">
      <alignment horizontal="center" vertical="center" wrapText="1"/>
    </xf>
    <xf numFmtId="0" fontId="26" fillId="0" borderId="0" xfId="0" applyFont="1" applyAlignment="1">
      <alignment horizontal="center" vertical="center"/>
    </xf>
    <xf numFmtId="0" fontId="17" fillId="0" borderId="10" xfId="0" applyFont="1" applyBorder="1" applyAlignment="1">
      <alignment horizontal="center" vertical="center" wrapText="1"/>
    </xf>
    <xf numFmtId="164" fontId="19" fillId="0" borderId="10" xfId="0" applyNumberFormat="1" applyFont="1" applyFill="1" applyBorder="1" applyAlignment="1">
      <alignment horizontal="center" vertical="center" wrapText="1"/>
    </xf>
    <xf numFmtId="0" fontId="33" fillId="0" borderId="0" xfId="0" applyFont="1" applyAlignment="1">
      <alignment vertical="center"/>
    </xf>
    <xf numFmtId="0" fontId="33" fillId="0" borderId="0" xfId="0" applyFont="1" applyAlignment="1">
      <alignment horizontal="right" vertical="center"/>
    </xf>
    <xf numFmtId="0" fontId="16" fillId="33" borderId="10" xfId="0" applyFont="1" applyFill="1" applyBorder="1" applyAlignment="1">
      <alignment horizontal="left" vertical="center" wrapText="1"/>
    </xf>
    <xf numFmtId="0" fontId="17" fillId="0" borderId="10" xfId="0" applyFont="1" applyBorder="1" applyAlignment="1">
      <alignment vertical="center" wrapText="1"/>
    </xf>
    <xf numFmtId="164" fontId="17" fillId="0" borderId="10" xfId="0" applyNumberFormat="1" applyFont="1" applyBorder="1" applyAlignment="1">
      <alignment vertical="center" wrapText="1"/>
    </xf>
    <xf numFmtId="0" fontId="16" fillId="0" borderId="10" xfId="0" applyFont="1" applyBorder="1" applyAlignment="1">
      <alignment horizontal="center" vertical="center" wrapText="1"/>
    </xf>
    <xf numFmtId="164" fontId="16" fillId="0" borderId="10" xfId="0" applyNumberFormat="1" applyFont="1" applyBorder="1" applyAlignment="1">
      <alignment vertical="center" wrapText="1"/>
    </xf>
    <xf numFmtId="0" fontId="16" fillId="0" borderId="0" xfId="0" applyFont="1" applyAlignment="1">
      <alignment vertical="center" wrapText="1"/>
    </xf>
    <xf numFmtId="0" fontId="34" fillId="0" borderId="10" xfId="0" applyFont="1" applyBorder="1" applyAlignment="1">
      <alignment horizontal="center" vertical="center" wrapText="1"/>
    </xf>
    <xf numFmtId="0" fontId="34" fillId="0" borderId="10" xfId="0" applyFont="1" applyBorder="1" applyAlignment="1">
      <alignment vertical="center" wrapText="1"/>
    </xf>
    <xf numFmtId="164" fontId="34" fillId="0" borderId="10" xfId="0" applyNumberFormat="1" applyFont="1" applyBorder="1" applyAlignment="1">
      <alignment vertical="center" wrapText="1"/>
    </xf>
    <xf numFmtId="0" fontId="34" fillId="0" borderId="0" xfId="0" applyFont="1" applyAlignment="1">
      <alignment vertical="center"/>
    </xf>
    <xf numFmtId="0" fontId="16" fillId="0" borderId="10" xfId="0" applyFont="1" applyBorder="1" applyAlignment="1">
      <alignmen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164" fontId="9" fillId="0" borderId="13" xfId="0" applyNumberFormat="1" applyFont="1" applyBorder="1" applyAlignment="1">
      <alignment vertical="center" wrapText="1"/>
    </xf>
    <xf numFmtId="0" fontId="9" fillId="0" borderId="0" xfId="0" applyFont="1" applyAlignment="1">
      <alignment vertical="center"/>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164" fontId="9" fillId="0" borderId="15" xfId="0" applyNumberFormat="1" applyFont="1" applyBorder="1" applyAlignment="1">
      <alignment vertical="center" wrapText="1"/>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164" fontId="16" fillId="0" borderId="18" xfId="0" applyNumberFormat="1" applyFont="1" applyBorder="1" applyAlignment="1">
      <alignment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164" fontId="9" fillId="0" borderId="11" xfId="0" applyNumberFormat="1" applyFont="1" applyBorder="1" applyAlignment="1">
      <alignment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164" fontId="9" fillId="0" borderId="12" xfId="0" applyNumberFormat="1"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164" fontId="9" fillId="0" borderId="10" xfId="0" applyNumberFormat="1" applyFont="1" applyBorder="1" applyAlignment="1">
      <alignment vertical="center" wrapText="1"/>
    </xf>
    <xf numFmtId="164" fontId="9" fillId="0" borderId="10" xfId="0" applyNumberFormat="1" applyFont="1" applyBorder="1" applyAlignment="1">
      <alignment horizontal="right" vertical="center" wrapText="1"/>
    </xf>
    <xf numFmtId="166" fontId="69" fillId="33" borderId="10" xfId="41" applyNumberFormat="1" applyFont="1" applyFill="1" applyBorder="1" applyAlignment="1">
      <alignment horizontal="right" vertical="center" wrapText="1"/>
    </xf>
    <xf numFmtId="166" fontId="16" fillId="33" borderId="10" xfId="41" applyNumberFormat="1" applyFont="1" applyFill="1" applyBorder="1" applyAlignment="1">
      <alignment horizontal="right" vertical="center" wrapText="1"/>
    </xf>
    <xf numFmtId="0" fontId="17" fillId="0" borderId="10" xfId="0" applyFont="1" applyBorder="1" applyAlignment="1">
      <alignment horizontal="center" vertical="center"/>
    </xf>
    <xf numFmtId="164" fontId="17" fillId="0" borderId="10" xfId="0" applyNumberFormat="1" applyFont="1" applyBorder="1" applyAlignment="1">
      <alignment vertical="center"/>
    </xf>
    <xf numFmtId="166" fontId="17" fillId="0" borderId="10" xfId="41" applyNumberFormat="1" applyFont="1" applyBorder="1" applyAlignment="1">
      <alignment horizontal="right" vertical="center" wrapText="1"/>
    </xf>
    <xf numFmtId="166" fontId="16" fillId="0" borderId="19" xfId="41" applyNumberFormat="1" applyFont="1" applyBorder="1" applyAlignment="1">
      <alignment horizontal="right" vertical="center" wrapText="1"/>
    </xf>
    <xf numFmtId="166" fontId="17" fillId="0" borderId="19" xfId="41" applyNumberFormat="1" applyFont="1" applyBorder="1" applyAlignment="1">
      <alignment horizontal="right" vertical="center" wrapText="1"/>
    </xf>
    <xf numFmtId="164" fontId="17" fillId="0" borderId="18" xfId="0" applyNumberFormat="1" applyFont="1" applyBorder="1" applyAlignment="1">
      <alignment vertical="center" wrapText="1"/>
    </xf>
    <xf numFmtId="166" fontId="9" fillId="0" borderId="13" xfId="41" applyNumberFormat="1" applyFont="1" applyBorder="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164" fontId="12" fillId="0" borderId="0" xfId="0" applyNumberFormat="1" applyFont="1" applyAlignment="1">
      <alignment vertical="center"/>
    </xf>
    <xf numFmtId="164" fontId="11" fillId="0" borderId="0" xfId="0" applyNumberFormat="1" applyFont="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164" fontId="13" fillId="0" borderId="10" xfId="0" applyNumberFormat="1" applyFont="1" applyBorder="1" applyAlignment="1">
      <alignment horizontal="center" vertical="center" wrapText="1"/>
    </xf>
    <xf numFmtId="0" fontId="14" fillId="0" borderId="0" xfId="0" applyNumberFormat="1" applyFont="1" applyAlignment="1">
      <alignment horizontal="center" vertical="center"/>
    </xf>
    <xf numFmtId="3" fontId="13" fillId="0" borderId="10" xfId="0" applyNumberFormat="1" applyFont="1" applyBorder="1" applyAlignment="1">
      <alignment horizontal="center" vertical="center" wrapText="1"/>
    </xf>
    <xf numFmtId="0" fontId="13" fillId="0" borderId="0" xfId="0" applyFont="1" applyAlignment="1">
      <alignment vertical="center"/>
    </xf>
    <xf numFmtId="164" fontId="13" fillId="0" borderId="0" xfId="0" applyNumberFormat="1" applyFont="1" applyAlignment="1">
      <alignment vertical="center"/>
    </xf>
    <xf numFmtId="0" fontId="12" fillId="0" borderId="10" xfId="0" applyFont="1" applyBorder="1" applyAlignment="1">
      <alignment horizontal="center" vertical="center" wrapText="1"/>
    </xf>
    <xf numFmtId="164" fontId="12" fillId="0" borderId="10" xfId="0" applyNumberFormat="1" applyFont="1" applyBorder="1" applyAlignment="1">
      <alignment horizontal="center" vertical="center" wrapText="1"/>
    </xf>
    <xf numFmtId="166" fontId="12" fillId="0" borderId="19" xfId="41" applyNumberFormat="1" applyFont="1" applyBorder="1" applyAlignment="1">
      <alignment horizontal="right" vertical="center" wrapText="1"/>
    </xf>
    <xf numFmtId="3" fontId="12"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164" fontId="14" fillId="0" borderId="11" xfId="0" applyNumberFormat="1" applyFont="1" applyBorder="1" applyAlignment="1">
      <alignment horizontal="center" vertical="center" wrapText="1"/>
    </xf>
    <xf numFmtId="0" fontId="14" fillId="0" borderId="0" xfId="0" applyFont="1" applyAlignment="1">
      <alignment vertical="center"/>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164" fontId="14" fillId="0" borderId="13" xfId="0" applyNumberFormat="1" applyFont="1" applyBorder="1" applyAlignment="1">
      <alignment vertical="center" wrapText="1"/>
    </xf>
    <xf numFmtId="3" fontId="14" fillId="0" borderId="13" xfId="0" applyNumberFormat="1" applyFont="1" applyBorder="1" applyAlignment="1">
      <alignment horizontal="center" vertical="center" wrapText="1"/>
    </xf>
    <xf numFmtId="164" fontId="14" fillId="0" borderId="15" xfId="0" applyNumberFormat="1" applyFont="1" applyBorder="1" applyAlignment="1">
      <alignment vertical="center" wrapText="1"/>
    </xf>
    <xf numFmtId="164" fontId="14" fillId="0" borderId="13" xfId="0" applyNumberFormat="1" applyFont="1" applyBorder="1" applyAlignment="1">
      <alignment horizontal="center" vertical="center" wrapText="1"/>
    </xf>
    <xf numFmtId="166" fontId="13" fillId="0" borderId="19" xfId="41" applyNumberFormat="1" applyFont="1" applyBorder="1" applyAlignment="1">
      <alignment horizontal="right" vertical="center" wrapText="1"/>
    </xf>
    <xf numFmtId="0" fontId="12" fillId="0" borderId="11" xfId="0" applyFont="1" applyBorder="1" applyAlignment="1">
      <alignment horizontal="center" vertical="center" wrapText="1"/>
    </xf>
    <xf numFmtId="166" fontId="12" fillId="0" borderId="20" xfId="41" applyNumberFormat="1" applyFont="1" applyBorder="1" applyAlignment="1">
      <alignment horizontal="right"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4" fontId="12" fillId="0" borderId="13" xfId="0" applyNumberFormat="1" applyFont="1" applyBorder="1" applyAlignment="1">
      <alignment horizontal="right" vertical="center" wrapText="1"/>
    </xf>
    <xf numFmtId="164" fontId="12" fillId="0" borderId="13" xfId="0" applyNumberFormat="1" applyFont="1" applyBorder="1" applyAlignment="1">
      <alignment horizontal="center" vertical="center" wrapText="1"/>
    </xf>
    <xf numFmtId="164" fontId="12" fillId="0" borderId="13" xfId="0" applyNumberFormat="1" applyFont="1" applyBorder="1" applyAlignment="1">
      <alignment vertical="center" wrapText="1"/>
    </xf>
    <xf numFmtId="164" fontId="13" fillId="0" borderId="10" xfId="0" applyNumberFormat="1" applyFont="1" applyBorder="1" applyAlignment="1">
      <alignment vertical="center" wrapText="1"/>
    </xf>
    <xf numFmtId="164" fontId="13" fillId="0" borderId="10" xfId="0" applyNumberFormat="1" applyFont="1" applyBorder="1" applyAlignment="1">
      <alignment vertical="center"/>
    </xf>
    <xf numFmtId="3" fontId="12" fillId="0" borderId="13" xfId="0" applyNumberFormat="1" applyFont="1" applyBorder="1" applyAlignment="1">
      <alignment horizontal="center" vertical="center" wrapText="1"/>
    </xf>
    <xf numFmtId="166" fontId="16" fillId="0" borderId="21" xfId="41" applyNumberFormat="1" applyFont="1" applyBorder="1" applyAlignment="1">
      <alignment horizontal="right" wrapText="1"/>
    </xf>
    <xf numFmtId="166" fontId="19" fillId="0" borderId="10" xfId="41" applyNumberFormat="1" applyFont="1" applyFill="1" applyBorder="1" applyAlignment="1">
      <alignment horizontal="center" vertical="center" wrapText="1"/>
    </xf>
    <xf numFmtId="1" fontId="19" fillId="0" borderId="10" xfId="41"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164" fontId="11" fillId="0" borderId="0" xfId="0" applyNumberFormat="1" applyFont="1" applyAlignment="1">
      <alignment horizontal="center" wrapText="1"/>
    </xf>
    <xf numFmtId="164" fontId="7" fillId="0" borderId="16" xfId="0" applyNumberFormat="1" applyFont="1" applyBorder="1" applyAlignment="1">
      <alignment horizontal="center"/>
    </xf>
    <xf numFmtId="164" fontId="11" fillId="0" borderId="0" xfId="0" applyNumberFormat="1" applyFont="1" applyAlignment="1">
      <alignment horizontal="center" vertical="center"/>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164" fontId="7" fillId="0" borderId="16" xfId="0" applyNumberFormat="1" applyFont="1" applyBorder="1" applyAlignment="1">
      <alignment horizontal="center" vertical="center"/>
    </xf>
    <xf numFmtId="164" fontId="18" fillId="0" borderId="0" xfId="0" applyNumberFormat="1" applyFont="1" applyAlignment="1">
      <alignment horizontal="center" vertical="center"/>
    </xf>
    <xf numFmtId="0" fontId="18" fillId="0" borderId="0" xfId="0" applyFont="1" applyAlignment="1">
      <alignment horizontal="center" vertical="center" wrapText="1"/>
    </xf>
    <xf numFmtId="0" fontId="26" fillId="0" borderId="0" xfId="0" applyFont="1" applyAlignment="1">
      <alignment horizontal="center" vertical="center"/>
    </xf>
    <xf numFmtId="0" fontId="17" fillId="0" borderId="10" xfId="0"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26" fillId="0" borderId="16" xfId="0" applyNumberFormat="1" applyFont="1" applyBorder="1" applyAlignment="1">
      <alignment horizontal="center" vertical="center"/>
    </xf>
    <xf numFmtId="0" fontId="18"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36" fillId="0" borderId="0" xfId="0" applyFont="1" applyAlignment="1">
      <alignment horizontal="center" vertical="center"/>
    </xf>
    <xf numFmtId="164" fontId="36" fillId="0" borderId="16" xfId="0" applyNumberFormat="1" applyFont="1" applyBorder="1" applyAlignment="1">
      <alignment horizontal="center" vertical="center"/>
    </xf>
    <xf numFmtId="164" fontId="11" fillId="0" borderId="0" xfId="0" applyNumberFormat="1" applyFont="1" applyAlignment="1">
      <alignment horizontal="center" vertical="center"/>
    </xf>
    <xf numFmtId="164" fontId="21" fillId="0" borderId="16" xfId="0" applyNumberFormat="1" applyFont="1" applyFill="1" applyBorder="1" applyAlignment="1">
      <alignment horizontal="center" vertical="center"/>
    </xf>
    <xf numFmtId="164" fontId="19" fillId="0" borderId="0" xfId="0" applyNumberFormat="1" applyFont="1" applyFill="1" applyAlignment="1">
      <alignment horizontal="center" vertical="center"/>
    </xf>
    <xf numFmtId="164" fontId="20" fillId="0" borderId="10"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19" fillId="0" borderId="10" xfId="0"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164" fontId="19" fillId="0" borderId="23" xfId="0" applyNumberFormat="1" applyFont="1" applyFill="1" applyBorder="1" applyAlignment="1">
      <alignment horizontal="center" vertical="center" wrapText="1"/>
    </xf>
    <xf numFmtId="164" fontId="19" fillId="0" borderId="24" xfId="0" applyNumberFormat="1" applyFont="1" applyFill="1" applyBorder="1" applyAlignment="1">
      <alignment horizontal="center" vertical="center" wrapText="1"/>
    </xf>
    <xf numFmtId="0" fontId="18" fillId="0" borderId="0" xfId="0" applyFont="1" applyAlignment="1">
      <alignment horizontal="center" vertical="center"/>
    </xf>
    <xf numFmtId="164" fontId="19" fillId="0" borderId="10" xfId="0" applyNumberFormat="1" applyFont="1" applyBorder="1" applyAlignment="1">
      <alignment horizontal="center" vertical="center" wrapText="1"/>
    </xf>
    <xf numFmtId="164" fontId="19" fillId="0" borderId="0" xfId="0" applyNumberFormat="1"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9" fillId="0" borderId="10" xfId="0" applyFont="1" applyBorder="1" applyAlignment="1">
      <alignment horizontal="center" vertical="center" wrapText="1"/>
    </xf>
    <xf numFmtId="164" fontId="19" fillId="0" borderId="10" xfId="0" applyNumberFormat="1" applyFont="1" applyFill="1" applyBorder="1" applyAlignment="1">
      <alignment horizontal="center" vertical="center" wrapText="1"/>
    </xf>
    <xf numFmtId="164" fontId="21" fillId="0" borderId="16"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19050</xdr:rowOff>
    </xdr:from>
    <xdr:to>
      <xdr:col>1</xdr:col>
      <xdr:colOff>1190625</xdr:colOff>
      <xdr:row>2</xdr:row>
      <xdr:rowOff>19050</xdr:rowOff>
    </xdr:to>
    <xdr:sp>
      <xdr:nvSpPr>
        <xdr:cNvPr id="1" name="Line 1"/>
        <xdr:cNvSpPr>
          <a:spLocks/>
        </xdr:cNvSpPr>
      </xdr:nvSpPr>
      <xdr:spPr>
        <a:xfrm>
          <a:off x="180975"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28575</xdr:rowOff>
    </xdr:from>
    <xdr:to>
      <xdr:col>1</xdr:col>
      <xdr:colOff>1066800</xdr:colOff>
      <xdr:row>2</xdr:row>
      <xdr:rowOff>28575</xdr:rowOff>
    </xdr:to>
    <xdr:sp>
      <xdr:nvSpPr>
        <xdr:cNvPr id="1" name="Line 1"/>
        <xdr:cNvSpPr>
          <a:spLocks/>
        </xdr:cNvSpPr>
      </xdr:nvSpPr>
      <xdr:spPr>
        <a:xfrm>
          <a:off x="247650" y="44767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xdr:row>
      <xdr:rowOff>9525</xdr:rowOff>
    </xdr:from>
    <xdr:to>
      <xdr:col>1</xdr:col>
      <xdr:colOff>1819275</xdr:colOff>
      <xdr:row>2</xdr:row>
      <xdr:rowOff>9525</xdr:rowOff>
    </xdr:to>
    <xdr:sp>
      <xdr:nvSpPr>
        <xdr:cNvPr id="1" name="Line 9"/>
        <xdr:cNvSpPr>
          <a:spLocks/>
        </xdr:cNvSpPr>
      </xdr:nvSpPr>
      <xdr:spPr>
        <a:xfrm>
          <a:off x="933450" y="333375"/>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9525</xdr:rowOff>
    </xdr:from>
    <xdr:to>
      <xdr:col>1</xdr:col>
      <xdr:colOff>809625</xdr:colOff>
      <xdr:row>2</xdr:row>
      <xdr:rowOff>9525</xdr:rowOff>
    </xdr:to>
    <xdr:sp>
      <xdr:nvSpPr>
        <xdr:cNvPr id="1" name="Line 1"/>
        <xdr:cNvSpPr>
          <a:spLocks/>
        </xdr:cNvSpPr>
      </xdr:nvSpPr>
      <xdr:spPr>
        <a:xfrm>
          <a:off x="104775" y="390525"/>
          <a:ext cx="1247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228600</xdr:rowOff>
    </xdr:from>
    <xdr:to>
      <xdr:col>1</xdr:col>
      <xdr:colOff>1600200</xdr:colOff>
      <xdr:row>1</xdr:row>
      <xdr:rowOff>228600</xdr:rowOff>
    </xdr:to>
    <xdr:sp>
      <xdr:nvSpPr>
        <xdr:cNvPr id="1" name="Line 1"/>
        <xdr:cNvSpPr>
          <a:spLocks/>
        </xdr:cNvSpPr>
      </xdr:nvSpPr>
      <xdr:spPr>
        <a:xfrm>
          <a:off x="600075" y="457200"/>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9525</xdr:rowOff>
    </xdr:from>
    <xdr:to>
      <xdr:col>1</xdr:col>
      <xdr:colOff>1181100</xdr:colOff>
      <xdr:row>2</xdr:row>
      <xdr:rowOff>9525</xdr:rowOff>
    </xdr:to>
    <xdr:sp>
      <xdr:nvSpPr>
        <xdr:cNvPr id="1" name="Line 1"/>
        <xdr:cNvSpPr>
          <a:spLocks/>
        </xdr:cNvSpPr>
      </xdr:nvSpPr>
      <xdr:spPr>
        <a:xfrm>
          <a:off x="819150" y="333375"/>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19050</xdr:rowOff>
    </xdr:from>
    <xdr:to>
      <xdr:col>1</xdr:col>
      <xdr:colOff>647700</xdr:colOff>
      <xdr:row>2</xdr:row>
      <xdr:rowOff>19050</xdr:rowOff>
    </xdr:to>
    <xdr:sp>
      <xdr:nvSpPr>
        <xdr:cNvPr id="1" name="Line 1"/>
        <xdr:cNvSpPr>
          <a:spLocks/>
        </xdr:cNvSpPr>
      </xdr:nvSpPr>
      <xdr:spPr>
        <a:xfrm>
          <a:off x="123825" y="352425"/>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zoomScalePageLayoutView="0" workbookViewId="0" topLeftCell="A10">
      <selection activeCell="B26" sqref="B26"/>
    </sheetView>
  </sheetViews>
  <sheetFormatPr defaultColWidth="9.140625" defaultRowHeight="15"/>
  <cols>
    <col min="1" max="1" width="5.140625" style="3" customWidth="1"/>
    <col min="2" max="2" width="46.00390625" style="3" customWidth="1"/>
    <col min="3" max="3" width="13.421875" style="2" customWidth="1"/>
    <col min="4" max="4" width="14.8515625" style="2" customWidth="1"/>
    <col min="5" max="5" width="11.28125" style="2" customWidth="1"/>
    <col min="6" max="6" width="9.00390625" style="3" customWidth="1"/>
    <col min="7" max="7" width="17.28125" style="3" customWidth="1"/>
    <col min="8" max="8" width="13.00390625" style="3" bestFit="1" customWidth="1"/>
    <col min="9" max="16384" width="9.00390625" style="3" customWidth="1"/>
  </cols>
  <sheetData>
    <row r="1" spans="1:5" ht="18.75">
      <c r="A1" s="145" t="s">
        <v>0</v>
      </c>
      <c r="B1" s="1"/>
      <c r="D1" s="267" t="s">
        <v>1</v>
      </c>
      <c r="E1" s="267"/>
    </row>
    <row r="2" spans="1:5" ht="18.75">
      <c r="A2" s="145" t="s">
        <v>239</v>
      </c>
      <c r="B2" s="1"/>
      <c r="E2" s="4"/>
    </row>
    <row r="3" ht="15.75">
      <c r="A3" s="5"/>
    </row>
    <row r="4" spans="1:5" s="6" customFormat="1" ht="18.75">
      <c r="A4" s="265" t="s">
        <v>299</v>
      </c>
      <c r="B4" s="265"/>
      <c r="C4" s="265"/>
      <c r="D4" s="265"/>
      <c r="E4" s="265"/>
    </row>
    <row r="5" spans="1:5" ht="21.75" customHeight="1">
      <c r="A5" s="266" t="s">
        <v>300</v>
      </c>
      <c r="B5" s="266"/>
      <c r="C5" s="266"/>
      <c r="D5" s="266"/>
      <c r="E5" s="266"/>
    </row>
    <row r="6" spans="1:5" ht="15.75">
      <c r="A6" s="7"/>
      <c r="B6" s="7"/>
      <c r="C6" s="7"/>
      <c r="D6" s="7"/>
      <c r="E6" s="7"/>
    </row>
    <row r="7" spans="4:5" ht="20.25" customHeight="1">
      <c r="D7" s="268" t="s">
        <v>2</v>
      </c>
      <c r="E7" s="268"/>
    </row>
    <row r="8" spans="1:5" ht="31.5">
      <c r="A8" s="8" t="s">
        <v>3</v>
      </c>
      <c r="B8" s="8" t="s">
        <v>4</v>
      </c>
      <c r="C8" s="9" t="s">
        <v>5</v>
      </c>
      <c r="D8" s="9" t="s">
        <v>6</v>
      </c>
      <c r="E8" s="9" t="s">
        <v>7</v>
      </c>
    </row>
    <row r="9" spans="1:5" s="11" customFormat="1" ht="18.75" customHeight="1">
      <c r="A9" s="10" t="s">
        <v>8</v>
      </c>
      <c r="B9" s="10" t="s">
        <v>9</v>
      </c>
      <c r="C9" s="10">
        <v>1</v>
      </c>
      <c r="D9" s="10">
        <v>2</v>
      </c>
      <c r="E9" s="10" t="s">
        <v>10</v>
      </c>
    </row>
    <row r="10" spans="1:5" s="14" customFormat="1" ht="38.25" customHeight="1">
      <c r="A10" s="8" t="s">
        <v>8</v>
      </c>
      <c r="B10" s="12" t="s">
        <v>240</v>
      </c>
      <c r="C10" s="13">
        <f>C11+C14+C17+C18+C19</f>
        <v>887293</v>
      </c>
      <c r="D10" s="13">
        <f>D11+D14+D17+D18+D19+D20</f>
        <v>1484912</v>
      </c>
      <c r="E10" s="13">
        <f>(D10/C10)*100</f>
        <v>167.35306150279558</v>
      </c>
    </row>
    <row r="11" spans="1:5" ht="26.25" customHeight="1">
      <c r="A11" s="15">
        <v>1</v>
      </c>
      <c r="B11" s="16" t="s">
        <v>11</v>
      </c>
      <c r="C11" s="17">
        <f>SUM(C12:C13)</f>
        <v>532761</v>
      </c>
      <c r="D11" s="17">
        <f>SUM(D12:D13)</f>
        <v>750748</v>
      </c>
      <c r="E11" s="17">
        <f aca="true" t="shared" si="0" ref="E11:E24">(D11/C11)*100</f>
        <v>140.91647098792893</v>
      </c>
    </row>
    <row r="12" spans="1:5" s="33" customFormat="1" ht="26.25" customHeight="1">
      <c r="A12" s="30" t="s">
        <v>12</v>
      </c>
      <c r="B12" s="31" t="s">
        <v>241</v>
      </c>
      <c r="C12" s="32">
        <v>352801</v>
      </c>
      <c r="D12" s="32">
        <v>555779</v>
      </c>
      <c r="E12" s="32">
        <f t="shared" si="0"/>
        <v>157.53328363581736</v>
      </c>
    </row>
    <row r="13" spans="1:5" s="33" customFormat="1" ht="36" customHeight="1">
      <c r="A13" s="34" t="s">
        <v>12</v>
      </c>
      <c r="B13" s="35" t="s">
        <v>242</v>
      </c>
      <c r="C13" s="36">
        <v>179960</v>
      </c>
      <c r="D13" s="36">
        <v>194969</v>
      </c>
      <c r="E13" s="36">
        <f t="shared" si="0"/>
        <v>108.34018670815738</v>
      </c>
    </row>
    <row r="14" spans="1:5" ht="26.25" customHeight="1">
      <c r="A14" s="15">
        <v>2</v>
      </c>
      <c r="B14" s="16" t="s">
        <v>13</v>
      </c>
      <c r="C14" s="17">
        <f>C15+C16</f>
        <v>336588</v>
      </c>
      <c r="D14" s="17">
        <f>D15+D16</f>
        <v>442813</v>
      </c>
      <c r="E14" s="17">
        <f t="shared" si="0"/>
        <v>131.55935446302306</v>
      </c>
    </row>
    <row r="15" spans="1:5" s="33" customFormat="1" ht="26.25" customHeight="1">
      <c r="A15" s="30" t="s">
        <v>12</v>
      </c>
      <c r="B15" s="31" t="s">
        <v>14</v>
      </c>
      <c r="C15" s="32">
        <v>202946</v>
      </c>
      <c r="D15" s="32">
        <v>202946</v>
      </c>
      <c r="E15" s="32">
        <f t="shared" si="0"/>
        <v>100</v>
      </c>
    </row>
    <row r="16" spans="1:5" s="33" customFormat="1" ht="26.25" customHeight="1">
      <c r="A16" s="34" t="s">
        <v>12</v>
      </c>
      <c r="B16" s="35" t="s">
        <v>15</v>
      </c>
      <c r="C16" s="36">
        <v>133642</v>
      </c>
      <c r="D16" s="36">
        <v>239867</v>
      </c>
      <c r="E16" s="36">
        <f t="shared" si="0"/>
        <v>179.48474282037083</v>
      </c>
    </row>
    <row r="17" spans="1:5" ht="26.25" customHeight="1">
      <c r="A17" s="15">
        <v>3</v>
      </c>
      <c r="B17" s="16" t="s">
        <v>16</v>
      </c>
      <c r="C17" s="17"/>
      <c r="D17" s="17">
        <v>1272</v>
      </c>
      <c r="E17" s="17"/>
    </row>
    <row r="18" spans="1:7" ht="26.25" customHeight="1">
      <c r="A18" s="15">
        <v>4</v>
      </c>
      <c r="B18" s="16" t="s">
        <v>17</v>
      </c>
      <c r="C18" s="17"/>
      <c r="D18" s="17">
        <v>281544</v>
      </c>
      <c r="E18" s="17"/>
      <c r="G18" s="2"/>
    </row>
    <row r="19" spans="1:5" ht="26.25" customHeight="1">
      <c r="A19" s="15">
        <v>5</v>
      </c>
      <c r="B19" s="16" t="s">
        <v>18</v>
      </c>
      <c r="C19" s="17">
        <v>17944</v>
      </c>
      <c r="D19" s="17"/>
      <c r="E19" s="17"/>
    </row>
    <row r="20" spans="1:5" ht="26.25" customHeight="1">
      <c r="A20" s="15">
        <v>6</v>
      </c>
      <c r="B20" s="16" t="s">
        <v>298</v>
      </c>
      <c r="C20" s="17"/>
      <c r="D20" s="17">
        <v>8535</v>
      </c>
      <c r="E20" s="17"/>
    </row>
    <row r="21" spans="1:5" s="14" customFormat="1" ht="26.25" customHeight="1">
      <c r="A21" s="8" t="s">
        <v>9</v>
      </c>
      <c r="B21" s="12" t="s">
        <v>243</v>
      </c>
      <c r="C21" s="13">
        <f>C22+C31+C28</f>
        <v>887293</v>
      </c>
      <c r="D21" s="13">
        <f>D22+D31+D28</f>
        <v>1484768</v>
      </c>
      <c r="E21" s="13">
        <f t="shared" si="0"/>
        <v>167.33683236540804</v>
      </c>
    </row>
    <row r="22" spans="1:5" s="14" customFormat="1" ht="26.25" customHeight="1">
      <c r="A22" s="8" t="s">
        <v>19</v>
      </c>
      <c r="B22" s="22" t="s">
        <v>244</v>
      </c>
      <c r="C22" s="13">
        <f>SUM(C23:C27)</f>
        <v>753651</v>
      </c>
      <c r="D22" s="13">
        <f>SUM(D23:D27)</f>
        <v>999924</v>
      </c>
      <c r="E22" s="13">
        <f t="shared" si="0"/>
        <v>132.67732677326774</v>
      </c>
    </row>
    <row r="23" spans="1:8" ht="26.25" customHeight="1">
      <c r="A23" s="23" t="s">
        <v>20</v>
      </c>
      <c r="B23" s="24" t="s">
        <v>21</v>
      </c>
      <c r="C23" s="25">
        <v>313440</v>
      </c>
      <c r="D23" s="25">
        <f>557734-200-38774</f>
        <v>518760</v>
      </c>
      <c r="E23" s="25">
        <f t="shared" si="0"/>
        <v>165.5053598774885</v>
      </c>
      <c r="H23" s="66"/>
    </row>
    <row r="24" spans="1:8" ht="26.25" customHeight="1">
      <c r="A24" s="26">
        <v>2</v>
      </c>
      <c r="B24" s="27" t="s">
        <v>22</v>
      </c>
      <c r="C24" s="28">
        <f>558372-133642</f>
        <v>424730</v>
      </c>
      <c r="D24" s="28">
        <f>651265-1041-208622</f>
        <v>441602</v>
      </c>
      <c r="E24" s="28">
        <f t="shared" si="0"/>
        <v>103.9724059991053</v>
      </c>
      <c r="H24" s="66"/>
    </row>
    <row r="25" spans="1:5" ht="26.25" customHeight="1">
      <c r="A25" s="26">
        <v>3</v>
      </c>
      <c r="B25" s="27" t="s">
        <v>24</v>
      </c>
      <c r="C25" s="28">
        <v>15481</v>
      </c>
      <c r="D25" s="28">
        <v>14330</v>
      </c>
      <c r="E25" s="28">
        <f>(D25/C25)*100</f>
        <v>92.56507977520833</v>
      </c>
    </row>
    <row r="26" spans="1:5" ht="26.25" customHeight="1">
      <c r="A26" s="26">
        <v>4</v>
      </c>
      <c r="B26" s="27" t="s">
        <v>93</v>
      </c>
      <c r="C26" s="28"/>
      <c r="D26" s="28"/>
      <c r="E26" s="28"/>
    </row>
    <row r="27" spans="1:5" ht="26.25" customHeight="1">
      <c r="A27" s="26">
        <v>5</v>
      </c>
      <c r="B27" s="62" t="s">
        <v>23</v>
      </c>
      <c r="C27" s="63"/>
      <c r="D27" s="63">
        <v>25232</v>
      </c>
      <c r="E27" s="29"/>
    </row>
    <row r="28" spans="1:8" s="14" customFormat="1" ht="26.25" customHeight="1">
      <c r="A28" s="38" t="s">
        <v>25</v>
      </c>
      <c r="B28" s="22" t="s">
        <v>97</v>
      </c>
      <c r="C28" s="13">
        <f>SUM(C29:C30)</f>
        <v>133642</v>
      </c>
      <c r="D28" s="13">
        <f>SUM(D29:D30)</f>
        <v>248637</v>
      </c>
      <c r="E28" s="13">
        <f>(D28/C28)*100</f>
        <v>186.0470510767573</v>
      </c>
      <c r="G28" s="65"/>
      <c r="H28" s="65"/>
    </row>
    <row r="29" spans="1:8" ht="26.25" customHeight="1">
      <c r="A29" s="26">
        <v>1</v>
      </c>
      <c r="B29" s="27" t="s">
        <v>94</v>
      </c>
      <c r="C29" s="28">
        <f>'BM 98-CK-NSNN'!C30</f>
        <v>0</v>
      </c>
      <c r="D29" s="28">
        <v>1241</v>
      </c>
      <c r="E29" s="25"/>
      <c r="G29" s="64"/>
      <c r="H29" s="64"/>
    </row>
    <row r="30" spans="1:8" ht="26.25" customHeight="1">
      <c r="A30" s="26">
        <v>2</v>
      </c>
      <c r="B30" s="27" t="s">
        <v>95</v>
      </c>
      <c r="C30" s="28">
        <v>133642</v>
      </c>
      <c r="D30" s="28">
        <v>247396</v>
      </c>
      <c r="E30" s="28">
        <f>(D30/C30)*100</f>
        <v>185.1184507864294</v>
      </c>
      <c r="G30" s="64"/>
      <c r="H30" s="64"/>
    </row>
    <row r="31" spans="1:5" s="14" customFormat="1" ht="26.25" customHeight="1">
      <c r="A31" s="38" t="s">
        <v>88</v>
      </c>
      <c r="B31" s="12" t="s">
        <v>26</v>
      </c>
      <c r="C31" s="13"/>
      <c r="D31" s="13">
        <v>236207</v>
      </c>
      <c r="E31" s="13"/>
    </row>
    <row r="34" ht="15.75">
      <c r="D34" s="2">
        <f>D10-D21</f>
        <v>144</v>
      </c>
    </row>
    <row r="35" ht="15.75">
      <c r="D35" s="2">
        <f>D10-D21</f>
        <v>144</v>
      </c>
    </row>
    <row r="36" ht="15.75">
      <c r="D36" s="2">
        <v>40328</v>
      </c>
    </row>
    <row r="37" ht="15.75">
      <c r="D37" s="2">
        <f>D35-D36</f>
        <v>-40184</v>
      </c>
    </row>
  </sheetData>
  <sheetProtection/>
  <mergeCells count="4">
    <mergeCell ref="A4:E4"/>
    <mergeCell ref="A5:E5"/>
    <mergeCell ref="D1:E1"/>
    <mergeCell ref="D7:E7"/>
  </mergeCells>
  <printOptions/>
  <pageMargins left="0.7" right="0.38" top="0.43" bottom="0.32"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3"/>
  <sheetViews>
    <sheetView zoomScalePageLayoutView="0" workbookViewId="0" topLeftCell="A1">
      <selection activeCell="F7" sqref="F7:H7"/>
    </sheetView>
  </sheetViews>
  <sheetFormatPr defaultColWidth="9.140625" defaultRowHeight="15"/>
  <cols>
    <col min="1" max="1" width="6.7109375" style="3" customWidth="1"/>
    <col min="2" max="2" width="55.00390625" style="3" customWidth="1"/>
    <col min="3" max="3" width="13.7109375" style="2" customWidth="1"/>
    <col min="4" max="4" width="11.421875" style="2" customWidth="1"/>
    <col min="5" max="5" width="12.140625" style="2" customWidth="1"/>
    <col min="6" max="6" width="12.00390625" style="2" customWidth="1"/>
    <col min="7" max="7" width="11.28125" style="2" customWidth="1"/>
    <col min="8" max="8" width="11.421875" style="2" customWidth="1"/>
    <col min="9" max="9" width="9.00390625" style="3" customWidth="1"/>
    <col min="10" max="10" width="20.421875" style="3" customWidth="1"/>
    <col min="11" max="16384" width="9.00390625" style="3" customWidth="1"/>
  </cols>
  <sheetData>
    <row r="1" spans="1:8" ht="16.5">
      <c r="A1" s="184" t="s">
        <v>0</v>
      </c>
      <c r="B1" s="185"/>
      <c r="F1" s="269" t="s">
        <v>27</v>
      </c>
      <c r="G1" s="269"/>
      <c r="H1" s="269"/>
    </row>
    <row r="2" spans="1:7" ht="16.5">
      <c r="A2" s="184" t="s">
        <v>239</v>
      </c>
      <c r="B2" s="185"/>
      <c r="G2" s="37"/>
    </row>
    <row r="3" spans="1:7" ht="10.5" customHeight="1">
      <c r="A3" s="5"/>
      <c r="G3" s="37"/>
    </row>
    <row r="4" spans="1:8" s="6" customFormat="1" ht="23.25" customHeight="1">
      <c r="A4" s="265" t="s">
        <v>301</v>
      </c>
      <c r="B4" s="265"/>
      <c r="C4" s="265"/>
      <c r="D4" s="265"/>
      <c r="E4" s="265"/>
      <c r="F4" s="265"/>
      <c r="G4" s="265"/>
      <c r="H4" s="265"/>
    </row>
    <row r="5" spans="1:8" ht="21" customHeight="1">
      <c r="A5" s="266" t="s">
        <v>302</v>
      </c>
      <c r="B5" s="266"/>
      <c r="C5" s="266"/>
      <c r="D5" s="266"/>
      <c r="E5" s="266"/>
      <c r="F5" s="266"/>
      <c r="G5" s="266"/>
      <c r="H5" s="266"/>
    </row>
    <row r="6" spans="1:8" ht="15.75">
      <c r="A6" s="7"/>
      <c r="B6" s="7"/>
      <c r="C6" s="7"/>
      <c r="D6" s="7"/>
      <c r="E6" s="7"/>
      <c r="F6" s="7"/>
      <c r="G6" s="7"/>
      <c r="H6" s="7"/>
    </row>
    <row r="7" spans="6:8" ht="15.75">
      <c r="F7" s="272" t="s">
        <v>2</v>
      </c>
      <c r="G7" s="272"/>
      <c r="H7" s="272"/>
    </row>
    <row r="8" spans="1:8" ht="24.75" customHeight="1">
      <c r="A8" s="270" t="s">
        <v>3</v>
      </c>
      <c r="B8" s="270" t="s">
        <v>4</v>
      </c>
      <c r="C8" s="271" t="s">
        <v>28</v>
      </c>
      <c r="D8" s="271"/>
      <c r="E8" s="271" t="s">
        <v>6</v>
      </c>
      <c r="F8" s="271"/>
      <c r="G8" s="271" t="s">
        <v>7</v>
      </c>
      <c r="H8" s="271"/>
    </row>
    <row r="9" spans="1:8" ht="54" customHeight="1">
      <c r="A9" s="270"/>
      <c r="B9" s="270"/>
      <c r="C9" s="9" t="s">
        <v>29</v>
      </c>
      <c r="D9" s="146" t="s">
        <v>245</v>
      </c>
      <c r="E9" s="9" t="s">
        <v>29</v>
      </c>
      <c r="F9" s="146" t="s">
        <v>245</v>
      </c>
      <c r="G9" s="9" t="s">
        <v>29</v>
      </c>
      <c r="H9" s="146" t="s">
        <v>245</v>
      </c>
    </row>
    <row r="10" spans="1:8" s="40" customFormat="1" ht="17.25" customHeight="1">
      <c r="A10" s="10" t="s">
        <v>8</v>
      </c>
      <c r="B10" s="10" t="s">
        <v>9</v>
      </c>
      <c r="C10" s="10">
        <v>1</v>
      </c>
      <c r="D10" s="10">
        <v>2</v>
      </c>
      <c r="E10" s="10">
        <v>3</v>
      </c>
      <c r="F10" s="10">
        <v>4</v>
      </c>
      <c r="G10" s="10" t="s">
        <v>30</v>
      </c>
      <c r="H10" s="10" t="s">
        <v>31</v>
      </c>
    </row>
    <row r="11" spans="1:8" s="14" customFormat="1" ht="22.5" customHeight="1">
      <c r="A11" s="8"/>
      <c r="B11" s="8" t="s">
        <v>32</v>
      </c>
      <c r="C11" s="9">
        <f>C12+C49+C50+C51+C52+C53</f>
        <v>888293</v>
      </c>
      <c r="D11" s="168">
        <f>D12+D49+D50+D51+D52+D53</f>
        <v>887293</v>
      </c>
      <c r="E11" s="168">
        <f>E12+E49+E50+E51+E52+E53</f>
        <v>1547803.183</v>
      </c>
      <c r="F11" s="168">
        <f>F12+F49+F50+F51+F52+F53</f>
        <v>1484912</v>
      </c>
      <c r="G11" s="9">
        <f aca="true" t="shared" si="0" ref="G11:H13">(E11/C11)*100</f>
        <v>174.244667356379</v>
      </c>
      <c r="H11" s="9">
        <f t="shared" si="0"/>
        <v>167.35306150279558</v>
      </c>
    </row>
    <row r="12" spans="1:8" s="14" customFormat="1" ht="22.5" customHeight="1">
      <c r="A12" s="8" t="s">
        <v>8</v>
      </c>
      <c r="B12" s="12" t="s">
        <v>33</v>
      </c>
      <c r="C12" s="9">
        <f>C13+C48</f>
        <v>533761</v>
      </c>
      <c r="D12" s="9">
        <f>D13+D48</f>
        <v>532761</v>
      </c>
      <c r="E12" s="9">
        <f>E13+E48</f>
        <v>796942.183</v>
      </c>
      <c r="F12" s="9">
        <f>F13+F48</f>
        <v>750748</v>
      </c>
      <c r="G12" s="9">
        <f t="shared" si="0"/>
        <v>149.30693381494712</v>
      </c>
      <c r="H12" s="9">
        <f t="shared" si="0"/>
        <v>140.91647098792893</v>
      </c>
    </row>
    <row r="13" spans="1:8" s="14" customFormat="1" ht="22.5" customHeight="1">
      <c r="A13" s="8" t="s">
        <v>34</v>
      </c>
      <c r="B13" s="12" t="s">
        <v>35</v>
      </c>
      <c r="C13" s="9">
        <f>C14+C17+C24+C26+C30+C31+C32+C33+C37+C38+C39+C40+C41+C42+C43+C44+C46+C47</f>
        <v>533761</v>
      </c>
      <c r="D13" s="39">
        <f>D14+D17+D24+D26+D30+D31+D32+D33+D37+D38+D39+D40+D41+D42+D43+D44+D46+D47</f>
        <v>532761</v>
      </c>
      <c r="E13" s="39">
        <f>E14+E17+E24+E26+E30+E31+E32+E33+E37+E38+E39+E40+E41+E42+E43+E44+E46+E47</f>
        <v>796942.183</v>
      </c>
      <c r="F13" s="39">
        <f>F14+F17+F24+F26+F30+F31+F32+F33+F37+F38+F39+F40+F41+F42+F43+F44+F46+F47</f>
        <v>750748</v>
      </c>
      <c r="G13" s="9">
        <f t="shared" si="0"/>
        <v>149.30693381494712</v>
      </c>
      <c r="H13" s="9">
        <f t="shared" si="0"/>
        <v>140.91647098792893</v>
      </c>
    </row>
    <row r="14" spans="1:8" ht="22.5" customHeight="1">
      <c r="A14" s="15">
        <v>1</v>
      </c>
      <c r="B14" s="16" t="s">
        <v>36</v>
      </c>
      <c r="C14" s="41">
        <f>D14</f>
        <v>0</v>
      </c>
      <c r="D14" s="41"/>
      <c r="E14" s="41">
        <f>SUM(E15:E16)</f>
        <v>1789.183</v>
      </c>
      <c r="F14" s="41">
        <f>SUM(F15:F16)</f>
        <v>0</v>
      </c>
      <c r="G14" s="41"/>
      <c r="H14" s="41"/>
    </row>
    <row r="15" spans="1:8" ht="22.5" customHeight="1">
      <c r="A15" s="44" t="s">
        <v>12</v>
      </c>
      <c r="B15" s="18" t="s">
        <v>38</v>
      </c>
      <c r="C15" s="49"/>
      <c r="D15" s="49"/>
      <c r="E15" s="49">
        <v>1789</v>
      </c>
      <c r="F15" s="49"/>
      <c r="G15" s="49"/>
      <c r="H15" s="49"/>
    </row>
    <row r="16" spans="1:8" ht="22.5" customHeight="1">
      <c r="A16" s="47" t="s">
        <v>12</v>
      </c>
      <c r="B16" s="48" t="s">
        <v>39</v>
      </c>
      <c r="C16" s="49"/>
      <c r="D16" s="49"/>
      <c r="E16" s="147">
        <v>0.183</v>
      </c>
      <c r="F16" s="49"/>
      <c r="G16" s="49"/>
      <c r="H16" s="49"/>
    </row>
    <row r="17" spans="1:10" ht="22.5" customHeight="1">
      <c r="A17" s="15">
        <v>2</v>
      </c>
      <c r="B17" s="16" t="s">
        <v>37</v>
      </c>
      <c r="C17" s="41">
        <f>SUM(C18:C23)</f>
        <v>0</v>
      </c>
      <c r="D17" s="41">
        <f>SUM(D18:D23)</f>
        <v>0</v>
      </c>
      <c r="E17" s="41">
        <f>SUM(E18:E23)</f>
        <v>1426</v>
      </c>
      <c r="F17" s="41">
        <f>SUM(F18:F21)</f>
        <v>370</v>
      </c>
      <c r="G17" s="42"/>
      <c r="H17" s="42"/>
      <c r="J17" s="43"/>
    </row>
    <row r="18" spans="1:8" ht="19.5" customHeight="1">
      <c r="A18" s="44" t="s">
        <v>12</v>
      </c>
      <c r="B18" s="18" t="s">
        <v>38</v>
      </c>
      <c r="C18" s="45"/>
      <c r="D18" s="45"/>
      <c r="E18" s="45">
        <v>486</v>
      </c>
      <c r="F18" s="45">
        <v>115</v>
      </c>
      <c r="G18" s="46"/>
      <c r="H18" s="46"/>
    </row>
    <row r="19" spans="1:8" ht="19.5" customHeight="1">
      <c r="A19" s="47" t="s">
        <v>12</v>
      </c>
      <c r="B19" s="48" t="s">
        <v>39</v>
      </c>
      <c r="C19" s="49"/>
      <c r="D19" s="49"/>
      <c r="E19" s="49"/>
      <c r="F19" s="49"/>
      <c r="G19" s="50"/>
      <c r="H19" s="50"/>
    </row>
    <row r="20" spans="1:8" ht="19.5" customHeight="1">
      <c r="A20" s="47" t="s">
        <v>12</v>
      </c>
      <c r="B20" s="48" t="s">
        <v>40</v>
      </c>
      <c r="C20" s="49"/>
      <c r="D20" s="49"/>
      <c r="E20" s="49">
        <v>270</v>
      </c>
      <c r="F20" s="49">
        <v>255</v>
      </c>
      <c r="G20" s="50"/>
      <c r="H20" s="50"/>
    </row>
    <row r="21" spans="1:8" ht="19.5" customHeight="1">
      <c r="A21" s="47" t="s">
        <v>12</v>
      </c>
      <c r="B21" s="48" t="s">
        <v>41</v>
      </c>
      <c r="C21" s="49"/>
      <c r="D21" s="49"/>
      <c r="E21" s="49">
        <v>670</v>
      </c>
      <c r="F21" s="49"/>
      <c r="G21" s="50"/>
      <c r="H21" s="50"/>
    </row>
    <row r="22" spans="1:8" ht="19.5" customHeight="1" hidden="1">
      <c r="A22" s="47" t="s">
        <v>12</v>
      </c>
      <c r="B22" s="48" t="s">
        <v>42</v>
      </c>
      <c r="C22" s="49"/>
      <c r="D22" s="49"/>
      <c r="E22" s="50"/>
      <c r="F22" s="50"/>
      <c r="G22" s="50"/>
      <c r="H22" s="50"/>
    </row>
    <row r="23" spans="1:8" ht="19.5" customHeight="1" hidden="1">
      <c r="A23" s="51" t="s">
        <v>12</v>
      </c>
      <c r="B23" s="20" t="s">
        <v>43</v>
      </c>
      <c r="C23" s="52"/>
      <c r="D23" s="52"/>
      <c r="E23" s="53"/>
      <c r="F23" s="53"/>
      <c r="G23" s="53"/>
      <c r="H23" s="53"/>
    </row>
    <row r="24" spans="1:8" ht="22.5" customHeight="1">
      <c r="A24" s="15">
        <v>3</v>
      </c>
      <c r="B24" s="16" t="s">
        <v>44</v>
      </c>
      <c r="C24" s="41">
        <f>D24</f>
        <v>0</v>
      </c>
      <c r="D24" s="41"/>
      <c r="E24" s="41">
        <f>E25</f>
        <v>70</v>
      </c>
      <c r="F24" s="41">
        <f>F25</f>
        <v>0</v>
      </c>
      <c r="G24" s="41"/>
      <c r="H24" s="41"/>
    </row>
    <row r="25" spans="1:8" ht="19.5" customHeight="1">
      <c r="A25" s="54" t="s">
        <v>12</v>
      </c>
      <c r="B25" s="55" t="s">
        <v>40</v>
      </c>
      <c r="C25" s="41"/>
      <c r="D25" s="41"/>
      <c r="E25" s="42">
        <v>70</v>
      </c>
      <c r="F25" s="42"/>
      <c r="G25" s="42"/>
      <c r="H25" s="42"/>
    </row>
    <row r="26" spans="1:8" ht="22.5" customHeight="1">
      <c r="A26" s="15">
        <v>4</v>
      </c>
      <c r="B26" s="16" t="s">
        <v>45</v>
      </c>
      <c r="C26" s="41">
        <f>SUM(C27:C29)</f>
        <v>155960</v>
      </c>
      <c r="D26" s="41">
        <f>SUM(D27:D29)</f>
        <v>154960</v>
      </c>
      <c r="E26" s="41">
        <f>SUM(E27:E29)</f>
        <v>172253</v>
      </c>
      <c r="F26" s="41">
        <f>SUM(F27:F29)</f>
        <v>171777</v>
      </c>
      <c r="G26" s="41">
        <f aca="true" t="shared" si="1" ref="G26:H33">(E26/C26)*100</f>
        <v>110.44690946396511</v>
      </c>
      <c r="H26" s="41">
        <f t="shared" si="1"/>
        <v>110.8524780588539</v>
      </c>
    </row>
    <row r="27" spans="1:8" s="19" customFormat="1" ht="19.5" customHeight="1">
      <c r="A27" s="44" t="s">
        <v>12</v>
      </c>
      <c r="B27" s="18" t="s">
        <v>46</v>
      </c>
      <c r="C27" s="46">
        <v>148060</v>
      </c>
      <c r="D27" s="46">
        <v>148060</v>
      </c>
      <c r="E27" s="46">
        <v>165307</v>
      </c>
      <c r="F27" s="46">
        <v>165307</v>
      </c>
      <c r="G27" s="46">
        <f t="shared" si="1"/>
        <v>111.64865595029043</v>
      </c>
      <c r="H27" s="46">
        <f t="shared" si="1"/>
        <v>111.64865595029043</v>
      </c>
    </row>
    <row r="28" spans="1:8" s="19" customFormat="1" ht="19.5" customHeight="1">
      <c r="A28" s="47" t="s">
        <v>12</v>
      </c>
      <c r="B28" s="48" t="s">
        <v>39</v>
      </c>
      <c r="C28" s="50">
        <v>1000</v>
      </c>
      <c r="D28" s="50"/>
      <c r="E28" s="50">
        <v>476</v>
      </c>
      <c r="F28" s="50"/>
      <c r="G28" s="50">
        <f t="shared" si="1"/>
        <v>47.599999999999994</v>
      </c>
      <c r="H28" s="50"/>
    </row>
    <row r="29" spans="1:8" s="19" customFormat="1" ht="19.5" customHeight="1">
      <c r="A29" s="51" t="s">
        <v>12</v>
      </c>
      <c r="B29" s="20" t="s">
        <v>41</v>
      </c>
      <c r="C29" s="53">
        <v>6900</v>
      </c>
      <c r="D29" s="53">
        <v>6900</v>
      </c>
      <c r="E29" s="50">
        <v>6470</v>
      </c>
      <c r="F29" s="50">
        <v>6470</v>
      </c>
      <c r="G29" s="53">
        <f t="shared" si="1"/>
        <v>93.76811594202898</v>
      </c>
      <c r="H29" s="53">
        <f t="shared" si="1"/>
        <v>93.76811594202898</v>
      </c>
    </row>
    <row r="30" spans="1:8" ht="22.5" customHeight="1">
      <c r="A30" s="15">
        <v>5</v>
      </c>
      <c r="B30" s="16" t="s">
        <v>47</v>
      </c>
      <c r="C30" s="41">
        <v>24000</v>
      </c>
      <c r="D30" s="41">
        <v>24000</v>
      </c>
      <c r="E30" s="41">
        <v>25122</v>
      </c>
      <c r="F30" s="41">
        <v>23144</v>
      </c>
      <c r="G30" s="41">
        <f t="shared" si="1"/>
        <v>104.67500000000001</v>
      </c>
      <c r="H30" s="41">
        <f t="shared" si="1"/>
        <v>96.43333333333334</v>
      </c>
    </row>
    <row r="31" spans="1:8" ht="22.5" customHeight="1">
      <c r="A31" s="15">
        <v>6</v>
      </c>
      <c r="B31" s="16" t="s">
        <v>98</v>
      </c>
      <c r="C31" s="41"/>
      <c r="D31" s="41"/>
      <c r="E31" s="41"/>
      <c r="F31" s="41"/>
      <c r="G31" s="41"/>
      <c r="H31" s="41"/>
    </row>
    <row r="32" spans="1:8" ht="22.5" customHeight="1">
      <c r="A32" s="15">
        <v>7</v>
      </c>
      <c r="B32" s="16" t="s">
        <v>48</v>
      </c>
      <c r="C32" s="41">
        <v>26000</v>
      </c>
      <c r="D32" s="41">
        <v>26000</v>
      </c>
      <c r="E32" s="41">
        <v>26245</v>
      </c>
      <c r="F32" s="41">
        <v>26245</v>
      </c>
      <c r="G32" s="41">
        <f t="shared" si="1"/>
        <v>100.9423076923077</v>
      </c>
      <c r="H32" s="41">
        <f t="shared" si="1"/>
        <v>100.9423076923077</v>
      </c>
    </row>
    <row r="33" spans="1:8" ht="22.5" customHeight="1">
      <c r="A33" s="15">
        <v>8</v>
      </c>
      <c r="B33" s="16" t="s">
        <v>49</v>
      </c>
      <c r="C33" s="41">
        <v>8200</v>
      </c>
      <c r="D33" s="41">
        <v>8200</v>
      </c>
      <c r="E33" s="41">
        <v>14356</v>
      </c>
      <c r="F33" s="41">
        <v>7701</v>
      </c>
      <c r="G33" s="41">
        <f t="shared" si="1"/>
        <v>175.0731707317073</v>
      </c>
      <c r="H33" s="41">
        <f t="shared" si="1"/>
        <v>93.91463414634146</v>
      </c>
    </row>
    <row r="34" spans="1:8" ht="22.5" customHeight="1">
      <c r="A34" s="15"/>
      <c r="B34" s="16" t="s">
        <v>50</v>
      </c>
      <c r="C34" s="41"/>
      <c r="D34" s="41"/>
      <c r="E34" s="41"/>
      <c r="F34" s="41"/>
      <c r="G34" s="41"/>
      <c r="H34" s="41"/>
    </row>
    <row r="35" spans="1:8" s="21" customFormat="1" ht="22.5" customHeight="1">
      <c r="A35" s="56" t="s">
        <v>51</v>
      </c>
      <c r="B35" s="57" t="s">
        <v>52</v>
      </c>
      <c r="C35" s="58">
        <v>1800</v>
      </c>
      <c r="D35" s="58">
        <v>1800</v>
      </c>
      <c r="E35" s="58">
        <v>3165</v>
      </c>
      <c r="F35" s="58">
        <v>3165</v>
      </c>
      <c r="G35" s="58">
        <f>(E35/C35)*100</f>
        <v>175.83333333333334</v>
      </c>
      <c r="H35" s="58">
        <f>(F35/D35)*100</f>
        <v>175.83333333333334</v>
      </c>
    </row>
    <row r="36" spans="1:8" s="21" customFormat="1" ht="22.5" customHeight="1">
      <c r="A36" s="56" t="s">
        <v>51</v>
      </c>
      <c r="B36" s="57" t="s">
        <v>53</v>
      </c>
      <c r="C36" s="58">
        <v>2800</v>
      </c>
      <c r="D36" s="58">
        <v>2800</v>
      </c>
      <c r="E36" s="58">
        <v>2776</v>
      </c>
      <c r="F36" s="58">
        <v>2742</v>
      </c>
      <c r="G36" s="58">
        <f>(E36/C36)*100</f>
        <v>99.14285714285714</v>
      </c>
      <c r="H36" s="58">
        <f>(F36/D36)*100</f>
        <v>97.92857142857143</v>
      </c>
    </row>
    <row r="37" spans="1:8" ht="22.5" customHeight="1">
      <c r="A37" s="15">
        <v>9</v>
      </c>
      <c r="B37" s="16" t="s">
        <v>54</v>
      </c>
      <c r="C37" s="41"/>
      <c r="D37" s="41"/>
      <c r="E37" s="41">
        <v>22</v>
      </c>
      <c r="F37" s="41">
        <v>22</v>
      </c>
      <c r="G37" s="41"/>
      <c r="H37" s="41"/>
    </row>
    <row r="38" spans="1:8" ht="22.5" customHeight="1">
      <c r="A38" s="15">
        <v>10</v>
      </c>
      <c r="B38" s="16" t="s">
        <v>55</v>
      </c>
      <c r="C38" s="41">
        <v>1000</v>
      </c>
      <c r="D38" s="41">
        <v>1000</v>
      </c>
      <c r="E38" s="41">
        <v>935</v>
      </c>
      <c r="F38" s="41">
        <v>935</v>
      </c>
      <c r="G38" s="41">
        <f>(E38/C38)*100</f>
        <v>93.5</v>
      </c>
      <c r="H38" s="41">
        <f>(F38/D38)*100</f>
        <v>93.5</v>
      </c>
    </row>
    <row r="39" spans="1:8" ht="22.5" customHeight="1">
      <c r="A39" s="15">
        <v>11</v>
      </c>
      <c r="B39" s="16" t="s">
        <v>56</v>
      </c>
      <c r="C39" s="41">
        <v>3000</v>
      </c>
      <c r="D39" s="41">
        <v>3000</v>
      </c>
      <c r="E39" s="41">
        <v>5884</v>
      </c>
      <c r="F39" s="41">
        <v>5884</v>
      </c>
      <c r="G39" s="41">
        <f>(E39/C39)*100</f>
        <v>196.13333333333333</v>
      </c>
      <c r="H39" s="41">
        <f>(F39/D39)*100</f>
        <v>196.13333333333333</v>
      </c>
    </row>
    <row r="40" spans="1:8" ht="22.5" customHeight="1">
      <c r="A40" s="15">
        <v>12</v>
      </c>
      <c r="B40" s="16" t="s">
        <v>57</v>
      </c>
      <c r="C40" s="41">
        <v>300000</v>
      </c>
      <c r="D40" s="41">
        <v>300000</v>
      </c>
      <c r="E40" s="41">
        <v>498909</v>
      </c>
      <c r="F40" s="41">
        <v>473145</v>
      </c>
      <c r="G40" s="41">
        <f>(E40/C40)*100</f>
        <v>166.303</v>
      </c>
      <c r="H40" s="41">
        <f>(F40/D40)*100</f>
        <v>157.715</v>
      </c>
    </row>
    <row r="41" spans="1:8" ht="28.5" customHeight="1">
      <c r="A41" s="15">
        <v>13</v>
      </c>
      <c r="B41" s="16" t="s">
        <v>60</v>
      </c>
      <c r="C41" s="41"/>
      <c r="D41" s="41"/>
      <c r="E41" s="41"/>
      <c r="F41" s="41"/>
      <c r="G41" s="41"/>
      <c r="H41" s="41"/>
    </row>
    <row r="42" spans="1:8" ht="22.5" customHeight="1">
      <c r="A42" s="15">
        <v>14</v>
      </c>
      <c r="B42" s="16" t="s">
        <v>99</v>
      </c>
      <c r="C42" s="41"/>
      <c r="D42" s="41"/>
      <c r="E42" s="41"/>
      <c r="F42" s="41"/>
      <c r="G42" s="41"/>
      <c r="H42" s="41"/>
    </row>
    <row r="43" spans="1:8" ht="22.5" customHeight="1">
      <c r="A43" s="15">
        <v>15</v>
      </c>
      <c r="B43" s="16" t="s">
        <v>61</v>
      </c>
      <c r="C43" s="41"/>
      <c r="D43" s="41"/>
      <c r="E43" s="41">
        <v>3928</v>
      </c>
      <c r="F43" s="41"/>
      <c r="G43" s="41"/>
      <c r="H43" s="41"/>
    </row>
    <row r="44" spans="1:8" ht="22.5" customHeight="1">
      <c r="A44" s="15">
        <v>16</v>
      </c>
      <c r="B44" s="16" t="s">
        <v>62</v>
      </c>
      <c r="C44" s="41">
        <v>10000</v>
      </c>
      <c r="D44" s="41">
        <v>10000</v>
      </c>
      <c r="E44" s="41">
        <v>23656</v>
      </c>
      <c r="F44" s="41">
        <v>19461</v>
      </c>
      <c r="G44" s="41">
        <f>(E44/C44)*100</f>
        <v>236.56</v>
      </c>
      <c r="H44" s="41">
        <f>(F44/D44)*100</f>
        <v>194.60999999999999</v>
      </c>
    </row>
    <row r="45" spans="1:8" s="21" customFormat="1" ht="22.5" customHeight="1">
      <c r="A45" s="56"/>
      <c r="B45" s="57" t="s">
        <v>63</v>
      </c>
      <c r="C45" s="58"/>
      <c r="D45" s="58"/>
      <c r="E45" s="58"/>
      <c r="F45" s="58"/>
      <c r="G45" s="58"/>
      <c r="H45" s="58"/>
    </row>
    <row r="46" spans="1:8" ht="22.5" customHeight="1">
      <c r="A46" s="15">
        <v>17</v>
      </c>
      <c r="B46" s="16" t="s">
        <v>58</v>
      </c>
      <c r="C46" s="41">
        <v>5601</v>
      </c>
      <c r="D46" s="41">
        <v>5601</v>
      </c>
      <c r="E46" s="41">
        <v>16555</v>
      </c>
      <c r="F46" s="41">
        <v>16555</v>
      </c>
      <c r="G46" s="41">
        <f>(E46/C46)*100</f>
        <v>295.5722192465631</v>
      </c>
      <c r="H46" s="41">
        <f>(F46/D46)*100</f>
        <v>295.5722192465631</v>
      </c>
    </row>
    <row r="47" spans="1:8" ht="22.5" customHeight="1">
      <c r="A47" s="15">
        <v>18</v>
      </c>
      <c r="B47" s="16" t="s">
        <v>59</v>
      </c>
      <c r="C47" s="41"/>
      <c r="D47" s="41"/>
      <c r="E47" s="41">
        <v>5792</v>
      </c>
      <c r="F47" s="41">
        <v>5509</v>
      </c>
      <c r="G47" s="41"/>
      <c r="H47" s="41"/>
    </row>
    <row r="48" spans="1:8" s="14" customFormat="1" ht="22.5" customHeight="1">
      <c r="A48" s="38" t="s">
        <v>88</v>
      </c>
      <c r="B48" s="12" t="s">
        <v>64</v>
      </c>
      <c r="C48" s="9"/>
      <c r="D48" s="9"/>
      <c r="E48" s="9"/>
      <c r="F48" s="9"/>
      <c r="G48" s="9"/>
      <c r="H48" s="9"/>
    </row>
    <row r="49" spans="1:8" s="14" customFormat="1" ht="22.5" customHeight="1">
      <c r="A49" s="8" t="s">
        <v>9</v>
      </c>
      <c r="B49" s="12" t="s">
        <v>65</v>
      </c>
      <c r="C49" s="9"/>
      <c r="D49" s="9"/>
      <c r="E49" s="9">
        <v>1272</v>
      </c>
      <c r="F49" s="168">
        <v>1272</v>
      </c>
      <c r="G49" s="9"/>
      <c r="H49" s="9"/>
    </row>
    <row r="50" spans="1:8" s="14" customFormat="1" ht="36" customHeight="1">
      <c r="A50" s="160" t="s">
        <v>66</v>
      </c>
      <c r="B50" s="12" t="s">
        <v>67</v>
      </c>
      <c r="C50" s="161"/>
      <c r="D50" s="177"/>
      <c r="E50" s="161">
        <v>281544</v>
      </c>
      <c r="F50" s="168">
        <v>281544</v>
      </c>
      <c r="G50" s="148"/>
      <c r="H50" s="148"/>
    </row>
    <row r="51" spans="1:8" s="14" customFormat="1" ht="24" customHeight="1">
      <c r="A51" s="59" t="s">
        <v>68</v>
      </c>
      <c r="B51" s="12" t="s">
        <v>69</v>
      </c>
      <c r="C51" s="9">
        <v>17944</v>
      </c>
      <c r="D51" s="60">
        <v>17944</v>
      </c>
      <c r="E51" s="9"/>
      <c r="F51" s="60"/>
      <c r="G51" s="168">
        <f>(E51/C51)*100</f>
        <v>0</v>
      </c>
      <c r="H51" s="168">
        <f>(F51/D51)*100</f>
        <v>0</v>
      </c>
    </row>
    <row r="52" spans="1:8" s="14" customFormat="1" ht="22.5" customHeight="1">
      <c r="A52" s="59" t="s">
        <v>70</v>
      </c>
      <c r="B52" s="61" t="s">
        <v>71</v>
      </c>
      <c r="C52" s="177">
        <v>336588</v>
      </c>
      <c r="D52" s="177">
        <v>336588</v>
      </c>
      <c r="E52" s="9">
        <v>442813</v>
      </c>
      <c r="F52" s="177">
        <v>442813</v>
      </c>
      <c r="G52" s="9">
        <f>(E52/C52)*100</f>
        <v>131.55935446302306</v>
      </c>
      <c r="H52" s="9">
        <f>(F52/D52)*100</f>
        <v>131.55935446302306</v>
      </c>
    </row>
    <row r="53" spans="1:8" s="14" customFormat="1" ht="22.5" customHeight="1">
      <c r="A53" s="59" t="s">
        <v>255</v>
      </c>
      <c r="B53" s="61" t="s">
        <v>256</v>
      </c>
      <c r="C53" s="168"/>
      <c r="D53" s="60"/>
      <c r="E53" s="168">
        <v>25232</v>
      </c>
      <c r="F53" s="60">
        <v>8535</v>
      </c>
      <c r="G53" s="168"/>
      <c r="H53" s="168"/>
    </row>
  </sheetData>
  <sheetProtection/>
  <mergeCells count="9">
    <mergeCell ref="F1:H1"/>
    <mergeCell ref="A4:H4"/>
    <mergeCell ref="A5:H5"/>
    <mergeCell ref="A8:A9"/>
    <mergeCell ref="B8:B9"/>
    <mergeCell ref="C8:D8"/>
    <mergeCell ref="E8:F8"/>
    <mergeCell ref="G8:H8"/>
    <mergeCell ref="F7:H7"/>
  </mergeCells>
  <printOptions/>
  <pageMargins left="0.8267716535433072" right="0.2362204724409449" top="0.4724409448818898" bottom="0.3937007874015748"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88"/>
  <sheetViews>
    <sheetView zoomScalePageLayoutView="0" workbookViewId="0" topLeftCell="A1">
      <pane ySplit="10" topLeftCell="A80" activePane="bottomLeft" state="frozen"/>
      <selection pane="topLeft" activeCell="A1" sqref="A1"/>
      <selection pane="bottomLeft" activeCell="D49" sqref="D49"/>
    </sheetView>
  </sheetViews>
  <sheetFormatPr defaultColWidth="9.140625" defaultRowHeight="15"/>
  <cols>
    <col min="1" max="1" width="5.140625" style="74" customWidth="1"/>
    <col min="2" max="2" width="36.7109375" style="74" customWidth="1"/>
    <col min="3" max="4" width="10.00390625" style="76" customWidth="1"/>
    <col min="5" max="5" width="10.57421875" style="76" customWidth="1"/>
    <col min="6" max="6" width="11.8515625" style="76" customWidth="1"/>
    <col min="7" max="7" width="10.7109375" style="76" customWidth="1"/>
    <col min="8" max="8" width="9.28125" style="76" customWidth="1"/>
    <col min="9" max="9" width="8.8515625" style="76" customWidth="1"/>
    <col min="10" max="10" width="9.28125" style="76" customWidth="1"/>
    <col min="11" max="11" width="8.57421875" style="76" customWidth="1"/>
    <col min="12" max="239" width="9.00390625" style="74" customWidth="1"/>
    <col min="240" max="240" width="5.140625" style="74" customWidth="1"/>
    <col min="241" max="241" width="36.8515625" style="74" customWidth="1"/>
    <col min="242" max="242" width="14.421875" style="74" customWidth="1"/>
    <col min="243" max="243" width="10.28125" style="74" customWidth="1"/>
    <col min="244" max="244" width="9.7109375" style="74" customWidth="1"/>
    <col min="245" max="245" width="9.57421875" style="74" customWidth="1"/>
    <col min="246" max="246" width="10.28125" style="74" customWidth="1"/>
    <col min="247" max="247" width="9.421875" style="74" customWidth="1"/>
    <col min="248" max="249" width="10.140625" style="74" customWidth="1"/>
    <col min="250" max="250" width="9.7109375" style="74" customWidth="1"/>
    <col min="251" max="16384" width="9.00390625" style="74" customWidth="1"/>
  </cols>
  <sheetData>
    <row r="1" spans="1:11" ht="12.75">
      <c r="A1" s="279" t="s">
        <v>238</v>
      </c>
      <c r="B1" s="279"/>
      <c r="I1" s="273" t="s">
        <v>72</v>
      </c>
      <c r="J1" s="273"/>
      <c r="K1" s="273"/>
    </row>
    <row r="2" spans="1:10" ht="12.75">
      <c r="A2" s="279" t="s">
        <v>246</v>
      </c>
      <c r="B2" s="279"/>
      <c r="J2" s="179"/>
    </row>
    <row r="3" ht="11.25" customHeight="1">
      <c r="A3" s="115"/>
    </row>
    <row r="4" spans="1:11" s="191" customFormat="1" ht="45.75" customHeight="1">
      <c r="A4" s="274" t="s">
        <v>303</v>
      </c>
      <c r="B4" s="274"/>
      <c r="C4" s="274"/>
      <c r="D4" s="274"/>
      <c r="E4" s="274"/>
      <c r="F4" s="274"/>
      <c r="G4" s="274"/>
      <c r="H4" s="274"/>
      <c r="I4" s="274"/>
      <c r="J4" s="274"/>
      <c r="K4" s="274"/>
    </row>
    <row r="5" spans="1:11" ht="19.5" customHeight="1">
      <c r="A5" s="275" t="s">
        <v>304</v>
      </c>
      <c r="B5" s="275"/>
      <c r="C5" s="275"/>
      <c r="D5" s="275"/>
      <c r="E5" s="275"/>
      <c r="F5" s="275"/>
      <c r="G5" s="275"/>
      <c r="H5" s="275"/>
      <c r="I5" s="275"/>
      <c r="J5" s="275"/>
      <c r="K5" s="275"/>
    </row>
    <row r="6" spans="1:11" ht="19.5" customHeight="1">
      <c r="A6" s="181"/>
      <c r="B6" s="181"/>
      <c r="C6" s="181"/>
      <c r="D6" s="181"/>
      <c r="E6" s="181"/>
      <c r="F6" s="181"/>
      <c r="G6" s="181"/>
      <c r="H6" s="181"/>
      <c r="I6" s="181"/>
      <c r="J6" s="181"/>
      <c r="K6" s="181"/>
    </row>
    <row r="7" spans="9:11" ht="18" customHeight="1">
      <c r="I7" s="278" t="s">
        <v>2</v>
      </c>
      <c r="J7" s="278"/>
      <c r="K7" s="278"/>
    </row>
    <row r="8" spans="1:11" ht="21" customHeight="1">
      <c r="A8" s="276" t="s">
        <v>3</v>
      </c>
      <c r="B8" s="276" t="s">
        <v>4</v>
      </c>
      <c r="C8" s="277" t="s">
        <v>28</v>
      </c>
      <c r="D8" s="277" t="s">
        <v>73</v>
      </c>
      <c r="E8" s="277"/>
      <c r="F8" s="277" t="s">
        <v>6</v>
      </c>
      <c r="G8" s="277" t="s">
        <v>73</v>
      </c>
      <c r="H8" s="277"/>
      <c r="I8" s="277" t="s">
        <v>7</v>
      </c>
      <c r="J8" s="277"/>
      <c r="K8" s="277"/>
    </row>
    <row r="9" spans="1:11" ht="57" customHeight="1">
      <c r="A9" s="276"/>
      <c r="B9" s="276"/>
      <c r="C9" s="277"/>
      <c r="D9" s="180" t="s">
        <v>74</v>
      </c>
      <c r="E9" s="180" t="s">
        <v>75</v>
      </c>
      <c r="F9" s="277"/>
      <c r="G9" s="180" t="s">
        <v>74</v>
      </c>
      <c r="H9" s="180" t="s">
        <v>75</v>
      </c>
      <c r="I9" s="180" t="s">
        <v>76</v>
      </c>
      <c r="J9" s="180" t="s">
        <v>74</v>
      </c>
      <c r="K9" s="180" t="s">
        <v>77</v>
      </c>
    </row>
    <row r="10" spans="1:11" s="11" customFormat="1" ht="18" customHeight="1">
      <c r="A10" s="10" t="s">
        <v>8</v>
      </c>
      <c r="B10" s="10" t="s">
        <v>9</v>
      </c>
      <c r="C10" s="10" t="s">
        <v>78</v>
      </c>
      <c r="D10" s="10">
        <v>2</v>
      </c>
      <c r="E10" s="10">
        <v>3</v>
      </c>
      <c r="F10" s="10" t="s">
        <v>79</v>
      </c>
      <c r="G10" s="10">
        <v>5</v>
      </c>
      <c r="H10" s="10">
        <v>6</v>
      </c>
      <c r="I10" s="10" t="s">
        <v>80</v>
      </c>
      <c r="J10" s="10" t="s">
        <v>81</v>
      </c>
      <c r="K10" s="10" t="s">
        <v>82</v>
      </c>
    </row>
    <row r="11" spans="1:11" s="75" customFormat="1" ht="22.5" customHeight="1">
      <c r="A11" s="182"/>
      <c r="B11" s="182" t="s">
        <v>243</v>
      </c>
      <c r="C11" s="188">
        <f>SUM(D11:E11)</f>
        <v>887293</v>
      </c>
      <c r="D11" s="188">
        <f>D12+D29+D88</f>
        <v>762555</v>
      </c>
      <c r="E11" s="188">
        <f>E12+E29+E88</f>
        <v>124738</v>
      </c>
      <c r="F11" s="188">
        <f>SUM(G11:H11)</f>
        <v>1484767.9358410002</v>
      </c>
      <c r="G11" s="188">
        <f>G12+G29+G88</f>
        <v>1097638.115313</v>
      </c>
      <c r="H11" s="188">
        <f>H12+H29+H88</f>
        <v>387129.820528</v>
      </c>
      <c r="I11" s="188">
        <f aca="true" t="shared" si="0" ref="I11:K14">(F11/C11)*100</f>
        <v>167.33682513453846</v>
      </c>
      <c r="J11" s="188">
        <f t="shared" si="0"/>
        <v>143.94215700021638</v>
      </c>
      <c r="K11" s="188">
        <f t="shared" si="0"/>
        <v>310.3543591591977</v>
      </c>
    </row>
    <row r="12" spans="1:11" s="195" customFormat="1" ht="22.5" customHeight="1">
      <c r="A12" s="192" t="s">
        <v>8</v>
      </c>
      <c r="B12" s="193" t="s">
        <v>247</v>
      </c>
      <c r="C12" s="194">
        <f>SUM(D12:E12)</f>
        <v>753651</v>
      </c>
      <c r="D12" s="194">
        <f>D13+D22+D26+D27+D28</f>
        <v>643931</v>
      </c>
      <c r="E12" s="194">
        <f>E13+E22+E26+E27+E28</f>
        <v>109720</v>
      </c>
      <c r="F12" s="194">
        <f>SUM(G12:H12)</f>
        <v>999923.761043</v>
      </c>
      <c r="G12" s="194">
        <f>G13+G22+G26+G27+G28</f>
        <v>760608.795323</v>
      </c>
      <c r="H12" s="194">
        <f>H13+H22+H26+H27+H28</f>
        <v>239314.96572</v>
      </c>
      <c r="I12" s="188">
        <f t="shared" si="0"/>
        <v>132.67729506668206</v>
      </c>
      <c r="J12" s="188">
        <f t="shared" si="0"/>
        <v>118.11961146815419</v>
      </c>
      <c r="K12" s="188">
        <f t="shared" si="0"/>
        <v>218.11425967918336</v>
      </c>
    </row>
    <row r="13" spans="1:11" s="75" customFormat="1" ht="22.5" customHeight="1">
      <c r="A13" s="182" t="s">
        <v>34</v>
      </c>
      <c r="B13" s="187" t="s">
        <v>21</v>
      </c>
      <c r="C13" s="188">
        <f>D13+E13</f>
        <v>313440</v>
      </c>
      <c r="D13" s="188">
        <f>D14+D21</f>
        <v>283440</v>
      </c>
      <c r="E13" s="188">
        <f>E14+E21</f>
        <v>30000</v>
      </c>
      <c r="F13" s="188">
        <f>F14+F21</f>
        <v>518760</v>
      </c>
      <c r="G13" s="188">
        <f>G14+G21</f>
        <v>384952</v>
      </c>
      <c r="H13" s="188">
        <f>H14+H21</f>
        <v>133808</v>
      </c>
      <c r="I13" s="188">
        <f t="shared" si="0"/>
        <v>165.5053598774885</v>
      </c>
      <c r="J13" s="188">
        <f t="shared" si="0"/>
        <v>135.81428168219023</v>
      </c>
      <c r="K13" s="188">
        <f t="shared" si="0"/>
        <v>446.02666666666664</v>
      </c>
    </row>
    <row r="14" spans="1:11" ht="24" customHeight="1">
      <c r="A14" s="189">
        <v>1</v>
      </c>
      <c r="B14" s="196" t="s">
        <v>83</v>
      </c>
      <c r="C14" s="190">
        <f>D14+E14</f>
        <v>313440</v>
      </c>
      <c r="D14" s="190">
        <v>283440</v>
      </c>
      <c r="E14" s="190">
        <v>30000</v>
      </c>
      <c r="F14" s="190">
        <f aca="true" t="shared" si="1" ref="F14:F28">G14+H14</f>
        <v>518760</v>
      </c>
      <c r="G14" s="190">
        <f>392484-7532</f>
        <v>384952</v>
      </c>
      <c r="H14" s="190">
        <f>165249-31441</f>
        <v>133808</v>
      </c>
      <c r="I14" s="190">
        <f t="shared" si="0"/>
        <v>165.5053598774885</v>
      </c>
      <c r="J14" s="190">
        <f t="shared" si="0"/>
        <v>135.81428168219023</v>
      </c>
      <c r="K14" s="190">
        <f t="shared" si="0"/>
        <v>446.02666666666664</v>
      </c>
    </row>
    <row r="15" spans="1:11" ht="24" customHeight="1">
      <c r="A15" s="121"/>
      <c r="B15" s="122" t="s">
        <v>84</v>
      </c>
      <c r="C15" s="123">
        <f>D15+E15</f>
        <v>0</v>
      </c>
      <c r="D15" s="123"/>
      <c r="E15" s="123"/>
      <c r="F15" s="123">
        <f t="shared" si="1"/>
        <v>0</v>
      </c>
      <c r="G15" s="123"/>
      <c r="H15" s="123"/>
      <c r="I15" s="123"/>
      <c r="J15" s="123"/>
      <c r="K15" s="123"/>
    </row>
    <row r="16" spans="1:11" s="200" customFormat="1" ht="24" customHeight="1">
      <c r="A16" s="197" t="s">
        <v>12</v>
      </c>
      <c r="B16" s="198" t="s">
        <v>85</v>
      </c>
      <c r="C16" s="199">
        <f>SUM(D16:E16)</f>
        <v>32844</v>
      </c>
      <c r="D16" s="199">
        <v>32844</v>
      </c>
      <c r="E16" s="199"/>
      <c r="F16" s="199">
        <f t="shared" si="1"/>
        <v>39755.807</v>
      </c>
      <c r="G16" s="199">
        <v>38639.474</v>
      </c>
      <c r="H16" s="199">
        <v>1116.333</v>
      </c>
      <c r="I16" s="199">
        <f>(F16/C16)*100</f>
        <v>121.04435208866155</v>
      </c>
      <c r="J16" s="199">
        <f>(G16/D16)*100</f>
        <v>117.64545731336014</v>
      </c>
      <c r="K16" s="199"/>
    </row>
    <row r="17" spans="1:11" s="200" customFormat="1" ht="24" customHeight="1">
      <c r="A17" s="201" t="s">
        <v>12</v>
      </c>
      <c r="B17" s="202" t="s">
        <v>86</v>
      </c>
      <c r="C17" s="199">
        <f>SUM(D17:E17)</f>
        <v>567</v>
      </c>
      <c r="D17" s="203">
        <v>567</v>
      </c>
      <c r="E17" s="203"/>
      <c r="F17" s="203">
        <f t="shared" si="1"/>
        <v>343.108</v>
      </c>
      <c r="G17" s="203">
        <v>343.108</v>
      </c>
      <c r="H17" s="203"/>
      <c r="I17" s="203">
        <f>(F17/C17)*100</f>
        <v>60.51287477954145</v>
      </c>
      <c r="J17" s="203">
        <f>(G17/D17)*100</f>
        <v>60.51287477954145</v>
      </c>
      <c r="K17" s="203"/>
    </row>
    <row r="18" spans="1:11" s="200" customFormat="1" ht="24" customHeight="1">
      <c r="A18" s="197"/>
      <c r="B18" s="125" t="s">
        <v>90</v>
      </c>
      <c r="C18" s="199"/>
      <c r="D18" s="203"/>
      <c r="E18" s="203"/>
      <c r="F18" s="199"/>
      <c r="G18" s="199"/>
      <c r="H18" s="199"/>
      <c r="I18" s="199"/>
      <c r="J18" s="199"/>
      <c r="K18" s="199"/>
    </row>
    <row r="19" spans="1:11" s="200" customFormat="1" ht="24" customHeight="1">
      <c r="A19" s="197" t="s">
        <v>12</v>
      </c>
      <c r="B19" s="198" t="s">
        <v>91</v>
      </c>
      <c r="C19" s="199">
        <f>SUM(D19:E19)</f>
        <v>300000</v>
      </c>
      <c r="D19" s="225">
        <v>270000</v>
      </c>
      <c r="E19" s="225">
        <v>30000</v>
      </c>
      <c r="F19" s="199">
        <f>SUM(G19:H19)</f>
        <v>449937</v>
      </c>
      <c r="G19" s="199">
        <v>341692</v>
      </c>
      <c r="H19" s="199">
        <v>108245</v>
      </c>
      <c r="I19" s="203">
        <f>(F19/C19)*100</f>
        <v>149.97899999999998</v>
      </c>
      <c r="J19" s="203">
        <f>(G19/D19)*100</f>
        <v>126.55259259259259</v>
      </c>
      <c r="K19" s="203">
        <f>H19/E19*100</f>
        <v>360.81666666666666</v>
      </c>
    </row>
    <row r="20" spans="1:11" s="200" customFormat="1" ht="24" customHeight="1">
      <c r="A20" s="197" t="s">
        <v>12</v>
      </c>
      <c r="B20" s="198" t="s">
        <v>297</v>
      </c>
      <c r="C20" s="199">
        <f>SUM(D20:E20)</f>
        <v>13440</v>
      </c>
      <c r="D20" s="225">
        <v>13440</v>
      </c>
      <c r="E20" s="225"/>
      <c r="F20" s="199">
        <f>SUM(G20:H20)</f>
        <v>11583.528</v>
      </c>
      <c r="G20" s="199">
        <v>11583.528</v>
      </c>
      <c r="H20" s="199"/>
      <c r="I20" s="199"/>
      <c r="J20" s="199"/>
      <c r="K20" s="199"/>
    </row>
    <row r="21" spans="1:11" ht="24" customHeight="1">
      <c r="A21" s="204">
        <v>2</v>
      </c>
      <c r="B21" s="205" t="s">
        <v>87</v>
      </c>
      <c r="C21" s="206">
        <f>D21+E21</f>
        <v>0</v>
      </c>
      <c r="D21" s="126"/>
      <c r="E21" s="126"/>
      <c r="F21" s="206">
        <f t="shared" si="1"/>
        <v>0</v>
      </c>
      <c r="G21" s="206"/>
      <c r="H21" s="206"/>
      <c r="I21" s="206"/>
      <c r="J21" s="206"/>
      <c r="K21" s="206"/>
    </row>
    <row r="22" spans="1:11" s="75" customFormat="1" ht="24.75" customHeight="1">
      <c r="A22" s="182" t="s">
        <v>25</v>
      </c>
      <c r="B22" s="187" t="s">
        <v>22</v>
      </c>
      <c r="C22" s="188">
        <f>SUM(D22:E22)</f>
        <v>424730</v>
      </c>
      <c r="D22" s="224">
        <v>347109</v>
      </c>
      <c r="E22" s="224">
        <v>77621</v>
      </c>
      <c r="F22" s="188">
        <f t="shared" si="1"/>
        <v>441601.849047</v>
      </c>
      <c r="G22" s="188">
        <f>512930.61474-165852</f>
        <v>347078.61474</v>
      </c>
      <c r="H22" s="188">
        <f>138334.234307-43811</f>
        <v>94523.234307</v>
      </c>
      <c r="I22" s="188">
        <f>(F22/C22)*100</f>
        <v>103.97237045817343</v>
      </c>
      <c r="J22" s="188">
        <f>(G22/D22)*100</f>
        <v>99.99124619067786</v>
      </c>
      <c r="K22" s="188">
        <f>(H22/E22)*100</f>
        <v>121.77533696680023</v>
      </c>
    </row>
    <row r="23" spans="1:11" s="200" customFormat="1" ht="22.5" customHeight="1">
      <c r="A23" s="207"/>
      <c r="B23" s="208" t="s">
        <v>50</v>
      </c>
      <c r="C23" s="209">
        <f>D23+E23</f>
        <v>0</v>
      </c>
      <c r="D23" s="209"/>
      <c r="E23" s="209"/>
      <c r="F23" s="209">
        <f t="shared" si="1"/>
        <v>0</v>
      </c>
      <c r="G23" s="209"/>
      <c r="H23" s="209"/>
      <c r="I23" s="209"/>
      <c r="J23" s="209"/>
      <c r="K23" s="209"/>
    </row>
    <row r="24" spans="1:11" s="200" customFormat="1" ht="22.5" customHeight="1">
      <c r="A24" s="210">
        <v>1</v>
      </c>
      <c r="B24" s="211" t="s">
        <v>85</v>
      </c>
      <c r="C24" s="212">
        <f>SUM(D24:E24)</f>
        <v>292391</v>
      </c>
      <c r="D24" s="212">
        <v>291082</v>
      </c>
      <c r="E24" s="212">
        <v>1309</v>
      </c>
      <c r="F24" s="212">
        <f t="shared" si="1"/>
        <v>287597.7822835</v>
      </c>
      <c r="G24" s="212">
        <v>287111.9240835</v>
      </c>
      <c r="H24" s="212">
        <v>485.8582</v>
      </c>
      <c r="I24" s="212">
        <f>(F24/C24)*100</f>
        <v>98.36068219729745</v>
      </c>
      <c r="J24" s="212">
        <f>(G24/D24)*100</f>
        <v>98.63609707350506</v>
      </c>
      <c r="K24" s="212">
        <f>(H24/E24)*100</f>
        <v>37.11674560733385</v>
      </c>
    </row>
    <row r="25" spans="1:11" s="200" customFormat="1" ht="22.5" customHeight="1">
      <c r="A25" s="213">
        <v>2</v>
      </c>
      <c r="B25" s="214" t="s">
        <v>86</v>
      </c>
      <c r="C25" s="215">
        <f>SUM(D25:E25)</f>
        <v>280</v>
      </c>
      <c r="D25" s="222">
        <v>280</v>
      </c>
      <c r="E25" s="222"/>
      <c r="F25" s="216">
        <f t="shared" si="1"/>
        <v>267.74</v>
      </c>
      <c r="G25" s="215">
        <v>267.74</v>
      </c>
      <c r="H25" s="216"/>
      <c r="I25" s="215">
        <f>(F25/C25)*100</f>
        <v>95.62142857142858</v>
      </c>
      <c r="J25" s="215">
        <f>(G25/D25)*100</f>
        <v>95.62142857142858</v>
      </c>
      <c r="K25" s="215"/>
    </row>
    <row r="26" spans="1:11" s="75" customFormat="1" ht="22.5" customHeight="1">
      <c r="A26" s="182" t="s">
        <v>88</v>
      </c>
      <c r="B26" s="187" t="s">
        <v>24</v>
      </c>
      <c r="C26" s="188">
        <f>D26+E26</f>
        <v>15481</v>
      </c>
      <c r="D26" s="223">
        <v>13382</v>
      </c>
      <c r="E26" s="223">
        <v>2099</v>
      </c>
      <c r="F26" s="188">
        <f t="shared" si="1"/>
        <v>14329.599925</v>
      </c>
      <c r="G26" s="188">
        <v>11880.882925</v>
      </c>
      <c r="H26" s="188">
        <v>2448.717</v>
      </c>
      <c r="I26" s="188">
        <f>(F26/C26)*100</f>
        <v>92.56249547832827</v>
      </c>
      <c r="J26" s="188">
        <f>(G26/D26)*100</f>
        <v>88.78256557315797</v>
      </c>
      <c r="K26" s="188">
        <f>(H26/E26)*100</f>
        <v>116.66112434492617</v>
      </c>
    </row>
    <row r="27" spans="1:11" s="75" customFormat="1" ht="22.5" customHeight="1">
      <c r="A27" s="182" t="s">
        <v>89</v>
      </c>
      <c r="B27" s="187" t="s">
        <v>93</v>
      </c>
      <c r="C27" s="188"/>
      <c r="D27" s="188"/>
      <c r="E27" s="188"/>
      <c r="F27" s="188">
        <f t="shared" si="1"/>
        <v>0</v>
      </c>
      <c r="G27" s="188"/>
      <c r="H27" s="188"/>
      <c r="I27" s="188"/>
      <c r="J27" s="188"/>
      <c r="K27" s="188"/>
    </row>
    <row r="28" spans="1:11" s="75" customFormat="1" ht="22.5" customHeight="1">
      <c r="A28" s="182" t="s">
        <v>107</v>
      </c>
      <c r="B28" s="187" t="s">
        <v>23</v>
      </c>
      <c r="C28" s="188"/>
      <c r="D28" s="188"/>
      <c r="E28" s="188"/>
      <c r="F28" s="188">
        <f t="shared" si="1"/>
        <v>25232.312071</v>
      </c>
      <c r="G28" s="188">
        <v>16697.297658</v>
      </c>
      <c r="H28" s="188">
        <v>8535.014413</v>
      </c>
      <c r="I28" s="188"/>
      <c r="J28" s="188"/>
      <c r="K28" s="188"/>
    </row>
    <row r="29" spans="1:11" s="75" customFormat="1" ht="33" customHeight="1">
      <c r="A29" s="182" t="s">
        <v>9</v>
      </c>
      <c r="B29" s="187" t="s">
        <v>92</v>
      </c>
      <c r="C29" s="188">
        <f>D29+E29</f>
        <v>133642</v>
      </c>
      <c r="D29" s="188">
        <f>D30+D34</f>
        <v>118624</v>
      </c>
      <c r="E29" s="188">
        <f>E30+E34</f>
        <v>15018</v>
      </c>
      <c r="F29" s="188">
        <f>G29+H29</f>
        <v>248636.87638499998</v>
      </c>
      <c r="G29" s="188">
        <f>G30+G34</f>
        <v>173384.762925</v>
      </c>
      <c r="H29" s="188">
        <f>H30+H34</f>
        <v>75252.11346</v>
      </c>
      <c r="I29" s="188">
        <f>(F29/C29)*100</f>
        <v>186.04695857963813</v>
      </c>
      <c r="J29" s="188">
        <f>(G29/D29)*100</f>
        <v>146.16330837351632</v>
      </c>
      <c r="K29" s="188">
        <f>(H29/E29)*100</f>
        <v>501.0794610467439</v>
      </c>
    </row>
    <row r="30" spans="1:11" s="75" customFormat="1" ht="21.75" customHeight="1">
      <c r="A30" s="182" t="s">
        <v>34</v>
      </c>
      <c r="B30" s="187" t="s">
        <v>94</v>
      </c>
      <c r="C30" s="188">
        <f>SUM(D30:E30)</f>
        <v>0</v>
      </c>
      <c r="D30" s="188">
        <f>SUM(D31:D33)</f>
        <v>0</v>
      </c>
      <c r="E30" s="188">
        <f>SUM(E31:E33)</f>
        <v>0</v>
      </c>
      <c r="F30" s="188">
        <f>SUM(G30:H30)</f>
        <v>1241.1632</v>
      </c>
      <c r="G30" s="188">
        <f>SUM(G31:G33)</f>
        <v>202.67</v>
      </c>
      <c r="H30" s="188">
        <f>SUM(H31:H33)</f>
        <v>1038.4932</v>
      </c>
      <c r="I30" s="188"/>
      <c r="J30" s="188"/>
      <c r="K30" s="188"/>
    </row>
    <row r="31" spans="1:11" ht="27" customHeight="1">
      <c r="A31" s="189">
        <v>1</v>
      </c>
      <c r="B31" s="186" t="s">
        <v>100</v>
      </c>
      <c r="C31" s="190">
        <f>SUM(D31:E31)</f>
        <v>0</v>
      </c>
      <c r="D31" s="190"/>
      <c r="E31" s="190"/>
      <c r="F31" s="190">
        <f>SUM(G31:H31)</f>
        <v>200</v>
      </c>
      <c r="G31" s="190"/>
      <c r="H31" s="190">
        <v>200</v>
      </c>
      <c r="I31" s="190"/>
      <c r="J31" s="190"/>
      <c r="K31" s="190"/>
    </row>
    <row r="32" spans="1:11" ht="27" customHeight="1">
      <c r="A32" s="189">
        <v>2</v>
      </c>
      <c r="B32" s="186" t="s">
        <v>101</v>
      </c>
      <c r="C32" s="190">
        <f>SUM(D32:E32)</f>
        <v>0</v>
      </c>
      <c r="D32" s="190"/>
      <c r="E32" s="190"/>
      <c r="F32" s="190">
        <f>SUM(G32:H32)</f>
        <v>838.4932</v>
      </c>
      <c r="G32" s="190"/>
      <c r="H32" s="190">
        <v>838.4932</v>
      </c>
      <c r="I32" s="190"/>
      <c r="J32" s="190"/>
      <c r="K32" s="190"/>
    </row>
    <row r="33" spans="1:11" ht="52.5" customHeight="1">
      <c r="A33" s="189">
        <v>3</v>
      </c>
      <c r="B33" s="186" t="s">
        <v>305</v>
      </c>
      <c r="C33" s="190">
        <f>SUM(D33:E33)</f>
        <v>0</v>
      </c>
      <c r="D33" s="190"/>
      <c r="E33" s="190"/>
      <c r="F33" s="190">
        <f>SUM(G33:H33)</f>
        <v>202.67</v>
      </c>
      <c r="G33" s="190">
        <v>202.67</v>
      </c>
      <c r="H33" s="190"/>
      <c r="I33" s="190"/>
      <c r="J33" s="190"/>
      <c r="K33" s="190"/>
    </row>
    <row r="34" spans="1:11" s="75" customFormat="1" ht="28.5" customHeight="1">
      <c r="A34" s="182" t="s">
        <v>25</v>
      </c>
      <c r="B34" s="187" t="s">
        <v>95</v>
      </c>
      <c r="C34" s="188">
        <f>SUM(D34:E34)</f>
        <v>133642</v>
      </c>
      <c r="D34" s="188">
        <f>SUM(D35:D87)</f>
        <v>118624</v>
      </c>
      <c r="E34" s="188">
        <f>SUM(E35:E87)</f>
        <v>15018</v>
      </c>
      <c r="F34" s="188">
        <f>SUM(F35:F87)</f>
        <v>247395.71318500003</v>
      </c>
      <c r="G34" s="188">
        <f>SUM(G35:G87)</f>
        <v>173182.09292499998</v>
      </c>
      <c r="H34" s="188">
        <f>SUM(H35:H87)</f>
        <v>74213.62026</v>
      </c>
      <c r="I34" s="188">
        <f>(F34/C34)*100</f>
        <v>185.11823617201182</v>
      </c>
      <c r="J34" s="188">
        <f>(G34/D34)*100</f>
        <v>145.99245761818852</v>
      </c>
      <c r="K34" s="188">
        <f>(H34/E34)*100</f>
        <v>494.16447103475826</v>
      </c>
    </row>
    <row r="35" spans="1:11" ht="27" customHeight="1">
      <c r="A35" s="189">
        <v>1</v>
      </c>
      <c r="B35" s="186" t="s">
        <v>102</v>
      </c>
      <c r="C35" s="190">
        <f>SUM(D35:E35)</f>
        <v>0</v>
      </c>
      <c r="D35" s="190"/>
      <c r="E35" s="190"/>
      <c r="F35" s="190">
        <f aca="true" t="shared" si="2" ref="F35:F87">SUM(G35:H35)</f>
        <v>52.99</v>
      </c>
      <c r="G35" s="190">
        <v>52.99</v>
      </c>
      <c r="H35" s="190"/>
      <c r="I35" s="190"/>
      <c r="J35" s="190"/>
      <c r="K35" s="190"/>
    </row>
    <row r="36" spans="1:11" ht="36.75" customHeight="1">
      <c r="A36" s="189">
        <v>2</v>
      </c>
      <c r="B36" s="186" t="s">
        <v>103</v>
      </c>
      <c r="C36" s="190">
        <f aca="true" t="shared" si="3" ref="C36:C88">SUM(D36:E36)</f>
        <v>5230</v>
      </c>
      <c r="D36" s="190"/>
      <c r="E36" s="190">
        <v>5230</v>
      </c>
      <c r="F36" s="190">
        <f t="shared" si="2"/>
        <v>8748.2259</v>
      </c>
      <c r="G36" s="190"/>
      <c r="H36" s="190">
        <v>8748.2259</v>
      </c>
      <c r="I36" s="190">
        <f>(F36/C36)*100</f>
        <v>167.27009369024856</v>
      </c>
      <c r="J36" s="190"/>
      <c r="K36" s="190">
        <f>H36/E36*100</f>
        <v>167.27009369024856</v>
      </c>
    </row>
    <row r="37" spans="1:11" ht="38.25" customHeight="1">
      <c r="A37" s="189">
        <v>3</v>
      </c>
      <c r="B37" s="186" t="s">
        <v>104</v>
      </c>
      <c r="C37" s="190">
        <f t="shared" si="3"/>
        <v>0</v>
      </c>
      <c r="D37" s="190"/>
      <c r="E37" s="190"/>
      <c r="F37" s="217">
        <f t="shared" si="2"/>
        <v>760.728012</v>
      </c>
      <c r="G37" s="217">
        <v>760.728012</v>
      </c>
      <c r="H37" s="217"/>
      <c r="I37" s="190"/>
      <c r="J37" s="190"/>
      <c r="K37" s="190"/>
    </row>
    <row r="38" spans="1:11" ht="57" customHeight="1">
      <c r="A38" s="189">
        <v>4</v>
      </c>
      <c r="B38" s="186" t="s">
        <v>105</v>
      </c>
      <c r="C38" s="190">
        <f t="shared" si="3"/>
        <v>0</v>
      </c>
      <c r="D38" s="190"/>
      <c r="E38" s="190"/>
      <c r="F38" s="217">
        <f t="shared" si="2"/>
        <v>9.68</v>
      </c>
      <c r="G38" s="217">
        <v>9.68</v>
      </c>
      <c r="H38" s="217"/>
      <c r="I38" s="190"/>
      <c r="J38" s="190"/>
      <c r="K38" s="190"/>
    </row>
    <row r="39" spans="1:11" ht="38.25" customHeight="1">
      <c r="A39" s="189">
        <v>5</v>
      </c>
      <c r="B39" s="186" t="s">
        <v>106</v>
      </c>
      <c r="C39" s="190">
        <f t="shared" si="3"/>
        <v>10830</v>
      </c>
      <c r="D39" s="190">
        <v>10830</v>
      </c>
      <c r="E39" s="190"/>
      <c r="F39" s="217">
        <f t="shared" si="2"/>
        <v>9002.364448</v>
      </c>
      <c r="G39" s="217">
        <v>9002.364448</v>
      </c>
      <c r="H39" s="217"/>
      <c r="I39" s="190">
        <f aca="true" t="shared" si="4" ref="I39:I73">(F39/C39)*100</f>
        <v>83.12432546629732</v>
      </c>
      <c r="J39" s="190">
        <f>(G39/D39)*100</f>
        <v>83.12432546629732</v>
      </c>
      <c r="K39" s="190"/>
    </row>
    <row r="40" spans="1:11" ht="38.25" customHeight="1">
      <c r="A40" s="189">
        <v>6</v>
      </c>
      <c r="B40" s="186" t="s">
        <v>257</v>
      </c>
      <c r="C40" s="190">
        <f t="shared" si="3"/>
        <v>0</v>
      </c>
      <c r="D40" s="190"/>
      <c r="E40" s="190"/>
      <c r="F40" s="217">
        <f t="shared" si="2"/>
        <v>348.64236</v>
      </c>
      <c r="G40" s="217"/>
      <c r="H40" s="217">
        <v>348.64236</v>
      </c>
      <c r="I40" s="190"/>
      <c r="J40" s="190"/>
      <c r="K40" s="190"/>
    </row>
    <row r="41" spans="1:11" ht="60.75" customHeight="1">
      <c r="A41" s="189">
        <v>7</v>
      </c>
      <c r="B41" s="186" t="s">
        <v>258</v>
      </c>
      <c r="C41" s="190">
        <f t="shared" si="3"/>
        <v>0</v>
      </c>
      <c r="D41" s="190"/>
      <c r="E41" s="190"/>
      <c r="F41" s="217">
        <f t="shared" si="2"/>
        <v>1387.395797</v>
      </c>
      <c r="G41" s="217">
        <v>1387.395797</v>
      </c>
      <c r="H41" s="217"/>
      <c r="I41" s="190"/>
      <c r="J41" s="190"/>
      <c r="K41" s="190"/>
    </row>
    <row r="42" spans="1:11" ht="47.25" customHeight="1">
      <c r="A42" s="189">
        <v>8</v>
      </c>
      <c r="B42" s="186" t="s">
        <v>259</v>
      </c>
      <c r="C42" s="190">
        <f t="shared" si="3"/>
        <v>0</v>
      </c>
      <c r="D42" s="190"/>
      <c r="E42" s="190"/>
      <c r="F42" s="217">
        <f t="shared" si="2"/>
        <v>266.954165</v>
      </c>
      <c r="G42" s="217">
        <v>266.954165</v>
      </c>
      <c r="H42" s="217"/>
      <c r="I42" s="190"/>
      <c r="J42" s="190"/>
      <c r="K42" s="190"/>
    </row>
    <row r="43" spans="1:11" ht="38.25" customHeight="1">
      <c r="A43" s="189">
        <v>9</v>
      </c>
      <c r="B43" s="186" t="s">
        <v>260</v>
      </c>
      <c r="C43" s="190">
        <f t="shared" si="3"/>
        <v>0</v>
      </c>
      <c r="D43" s="190"/>
      <c r="E43" s="190"/>
      <c r="F43" s="217">
        <f t="shared" si="2"/>
        <v>242.855591</v>
      </c>
      <c r="G43" s="217">
        <v>205.113591</v>
      </c>
      <c r="H43" s="217">
        <v>37.742</v>
      </c>
      <c r="I43" s="190"/>
      <c r="J43" s="190"/>
      <c r="K43" s="190"/>
    </row>
    <row r="44" spans="1:11" ht="50.25" customHeight="1">
      <c r="A44" s="189">
        <v>10</v>
      </c>
      <c r="B44" s="186" t="s">
        <v>250</v>
      </c>
      <c r="C44" s="190">
        <f t="shared" si="3"/>
        <v>0</v>
      </c>
      <c r="D44" s="190"/>
      <c r="E44" s="190"/>
      <c r="F44" s="217">
        <f t="shared" si="2"/>
        <v>20.239</v>
      </c>
      <c r="G44" s="217">
        <v>20.239</v>
      </c>
      <c r="H44" s="217"/>
      <c r="I44" s="190"/>
      <c r="J44" s="190"/>
      <c r="K44" s="190"/>
    </row>
    <row r="45" spans="1:11" ht="60.75" customHeight="1">
      <c r="A45" s="189">
        <v>11</v>
      </c>
      <c r="B45" s="186" t="s">
        <v>251</v>
      </c>
      <c r="C45" s="190">
        <f t="shared" si="3"/>
        <v>0</v>
      </c>
      <c r="D45" s="190"/>
      <c r="E45" s="190"/>
      <c r="F45" s="217">
        <f t="shared" si="2"/>
        <v>1567.72475</v>
      </c>
      <c r="G45" s="217">
        <v>1567.72475</v>
      </c>
      <c r="H45" s="217"/>
      <c r="I45" s="190"/>
      <c r="J45" s="190"/>
      <c r="K45" s="190"/>
    </row>
    <row r="46" spans="1:11" ht="21.75" customHeight="1">
      <c r="A46" s="189">
        <v>12</v>
      </c>
      <c r="B46" s="186" t="s">
        <v>261</v>
      </c>
      <c r="C46" s="190">
        <f t="shared" si="3"/>
        <v>0</v>
      </c>
      <c r="D46" s="190"/>
      <c r="E46" s="190"/>
      <c r="F46" s="190">
        <f t="shared" si="2"/>
        <v>37.178</v>
      </c>
      <c r="G46" s="190"/>
      <c r="H46" s="217">
        <v>37.178</v>
      </c>
      <c r="I46" s="190"/>
      <c r="J46" s="190"/>
      <c r="K46" s="190"/>
    </row>
    <row r="47" spans="1:11" ht="39.75" customHeight="1">
      <c r="A47" s="189">
        <v>13</v>
      </c>
      <c r="B47" s="186" t="s">
        <v>268</v>
      </c>
      <c r="C47" s="190">
        <f t="shared" si="3"/>
        <v>0</v>
      </c>
      <c r="D47" s="190"/>
      <c r="E47" s="190"/>
      <c r="F47" s="190">
        <f t="shared" si="2"/>
        <v>26.13</v>
      </c>
      <c r="G47" s="190">
        <v>26.13</v>
      </c>
      <c r="H47" s="190"/>
      <c r="I47" s="190"/>
      <c r="J47" s="190"/>
      <c r="K47" s="190"/>
    </row>
    <row r="48" spans="1:11" ht="18.75" customHeight="1">
      <c r="A48" s="189">
        <v>14</v>
      </c>
      <c r="B48" s="186" t="s">
        <v>269</v>
      </c>
      <c r="C48" s="190">
        <f t="shared" si="3"/>
        <v>0</v>
      </c>
      <c r="D48" s="190"/>
      <c r="E48" s="190"/>
      <c r="F48" s="190">
        <f t="shared" si="2"/>
        <v>10</v>
      </c>
      <c r="G48" s="190"/>
      <c r="H48" s="190">
        <v>10</v>
      </c>
      <c r="I48" s="190"/>
      <c r="J48" s="190"/>
      <c r="K48" s="190"/>
    </row>
    <row r="49" spans="1:11" ht="44.25" customHeight="1">
      <c r="A49" s="189">
        <v>15</v>
      </c>
      <c r="B49" s="186" t="s">
        <v>270</v>
      </c>
      <c r="C49" s="190">
        <f t="shared" si="3"/>
        <v>0</v>
      </c>
      <c r="D49" s="190"/>
      <c r="E49" s="190"/>
      <c r="F49" s="190">
        <f t="shared" si="2"/>
        <v>83.966</v>
      </c>
      <c r="G49" s="190"/>
      <c r="H49" s="217">
        <v>83.966</v>
      </c>
      <c r="I49" s="190"/>
      <c r="J49" s="190"/>
      <c r="K49" s="190"/>
    </row>
    <row r="50" spans="1:11" ht="61.5" customHeight="1">
      <c r="A50" s="189">
        <v>16</v>
      </c>
      <c r="B50" s="186" t="s">
        <v>271</v>
      </c>
      <c r="C50" s="190">
        <f t="shared" si="3"/>
        <v>0</v>
      </c>
      <c r="D50" s="190"/>
      <c r="E50" s="190"/>
      <c r="F50" s="190">
        <f t="shared" si="2"/>
        <v>37.379</v>
      </c>
      <c r="G50" s="190"/>
      <c r="H50" s="217">
        <v>37.379</v>
      </c>
      <c r="I50" s="190"/>
      <c r="J50" s="190"/>
      <c r="K50" s="190"/>
    </row>
    <row r="51" spans="1:11" ht="30" customHeight="1">
      <c r="A51" s="189">
        <v>17</v>
      </c>
      <c r="B51" s="186" t="s">
        <v>272</v>
      </c>
      <c r="C51" s="190">
        <f t="shared" si="3"/>
        <v>0</v>
      </c>
      <c r="D51" s="190"/>
      <c r="E51" s="190"/>
      <c r="F51" s="190">
        <f t="shared" si="2"/>
        <v>5000</v>
      </c>
      <c r="G51" s="190">
        <v>1700</v>
      </c>
      <c r="H51" s="190">
        <v>3300</v>
      </c>
      <c r="I51" s="190"/>
      <c r="J51" s="190"/>
      <c r="K51" s="190"/>
    </row>
    <row r="52" spans="1:11" ht="74.25" customHeight="1">
      <c r="A52" s="189">
        <v>18</v>
      </c>
      <c r="B52" s="186" t="s">
        <v>273</v>
      </c>
      <c r="C52" s="190">
        <f t="shared" si="3"/>
        <v>0</v>
      </c>
      <c r="D52" s="190"/>
      <c r="E52" s="190"/>
      <c r="F52" s="190">
        <f t="shared" si="2"/>
        <v>20</v>
      </c>
      <c r="G52" s="190"/>
      <c r="H52" s="190">
        <v>20</v>
      </c>
      <c r="I52" s="190"/>
      <c r="J52" s="190"/>
      <c r="K52" s="190"/>
    </row>
    <row r="53" spans="1:11" ht="38.25" customHeight="1">
      <c r="A53" s="189">
        <v>19</v>
      </c>
      <c r="B53" s="186" t="s">
        <v>274</v>
      </c>
      <c r="C53" s="190">
        <f t="shared" si="3"/>
        <v>0</v>
      </c>
      <c r="D53" s="190"/>
      <c r="E53" s="190"/>
      <c r="F53" s="218">
        <f t="shared" si="2"/>
        <v>249.24</v>
      </c>
      <c r="G53" s="190"/>
      <c r="H53" s="218">
        <v>249.24</v>
      </c>
      <c r="I53" s="190"/>
      <c r="J53" s="190"/>
      <c r="K53" s="190"/>
    </row>
    <row r="54" spans="1:11" ht="38.25" customHeight="1">
      <c r="A54" s="189">
        <v>20</v>
      </c>
      <c r="B54" s="186" t="s">
        <v>275</v>
      </c>
      <c r="C54" s="190">
        <f t="shared" si="3"/>
        <v>0</v>
      </c>
      <c r="D54" s="190"/>
      <c r="E54" s="190"/>
      <c r="F54" s="218">
        <f t="shared" si="2"/>
        <v>565</v>
      </c>
      <c r="G54" s="190"/>
      <c r="H54" s="218">
        <v>565</v>
      </c>
      <c r="I54" s="190"/>
      <c r="J54" s="190"/>
      <c r="K54" s="190"/>
    </row>
    <row r="55" spans="1:11" ht="36" customHeight="1">
      <c r="A55" s="189">
        <v>21</v>
      </c>
      <c r="B55" s="186" t="s">
        <v>306</v>
      </c>
      <c r="C55" s="190">
        <f t="shared" si="3"/>
        <v>3160</v>
      </c>
      <c r="D55" s="190">
        <v>2310</v>
      </c>
      <c r="E55" s="190">
        <v>850</v>
      </c>
      <c r="F55" s="218">
        <f t="shared" si="2"/>
        <v>2818.4</v>
      </c>
      <c r="G55" s="218">
        <v>1781.4</v>
      </c>
      <c r="H55" s="218">
        <v>1037</v>
      </c>
      <c r="I55" s="190">
        <f t="shared" si="4"/>
        <v>89.18987341772151</v>
      </c>
      <c r="J55" s="190">
        <f>(G55/D55)*100</f>
        <v>77.11688311688312</v>
      </c>
      <c r="K55" s="190">
        <f aca="true" t="shared" si="5" ref="K55:K71">H55/E55*100</f>
        <v>122</v>
      </c>
    </row>
    <row r="56" spans="1:11" ht="68.25" customHeight="1">
      <c r="A56" s="189">
        <v>22</v>
      </c>
      <c r="B56" s="186" t="s">
        <v>307</v>
      </c>
      <c r="C56" s="190">
        <f t="shared" si="3"/>
        <v>30000</v>
      </c>
      <c r="D56" s="190">
        <v>26950</v>
      </c>
      <c r="E56" s="190">
        <v>3050</v>
      </c>
      <c r="F56" s="218">
        <f t="shared" si="2"/>
        <v>27874.490162000002</v>
      </c>
      <c r="G56" s="218">
        <v>11890.590162</v>
      </c>
      <c r="H56" s="218">
        <v>15983.9</v>
      </c>
      <c r="I56" s="190">
        <f t="shared" si="4"/>
        <v>92.91496720666667</v>
      </c>
      <c r="J56" s="190">
        <f>(G56/D56)*100</f>
        <v>44.12092824489796</v>
      </c>
      <c r="K56" s="190">
        <f t="shared" si="5"/>
        <v>524.0622950819672</v>
      </c>
    </row>
    <row r="57" spans="1:11" ht="38.25" customHeight="1">
      <c r="A57" s="189">
        <v>23</v>
      </c>
      <c r="B57" s="186" t="s">
        <v>308</v>
      </c>
      <c r="C57" s="190">
        <f t="shared" si="3"/>
        <v>57530</v>
      </c>
      <c r="D57" s="190">
        <v>57530</v>
      </c>
      <c r="E57" s="190"/>
      <c r="F57" s="190">
        <f t="shared" si="2"/>
        <v>96951.025</v>
      </c>
      <c r="G57" s="190">
        <v>96951.025</v>
      </c>
      <c r="H57" s="190"/>
      <c r="I57" s="190">
        <f t="shared" si="4"/>
        <v>168.5225534503737</v>
      </c>
      <c r="J57" s="190">
        <f>(G57/D57)*100</f>
        <v>168.5225534503737</v>
      </c>
      <c r="K57" s="190"/>
    </row>
    <row r="58" spans="1:11" ht="25.5" customHeight="1">
      <c r="A58" s="189">
        <v>24</v>
      </c>
      <c r="B58" s="186" t="s">
        <v>309</v>
      </c>
      <c r="C58" s="190">
        <f t="shared" si="3"/>
        <v>30</v>
      </c>
      <c r="D58" s="190">
        <v>30</v>
      </c>
      <c r="E58" s="190"/>
      <c r="F58" s="190">
        <f t="shared" si="2"/>
        <v>30</v>
      </c>
      <c r="G58" s="190">
        <v>30</v>
      </c>
      <c r="H58" s="190"/>
      <c r="I58" s="190">
        <f t="shared" si="4"/>
        <v>100</v>
      </c>
      <c r="J58" s="190">
        <f>(G58/D58)*100</f>
        <v>100</v>
      </c>
      <c r="K58" s="190"/>
    </row>
    <row r="59" spans="1:11" ht="21.75" customHeight="1">
      <c r="A59" s="189">
        <v>25</v>
      </c>
      <c r="B59" s="186" t="s">
        <v>262</v>
      </c>
      <c r="C59" s="190">
        <f t="shared" si="3"/>
        <v>500</v>
      </c>
      <c r="D59" s="190">
        <v>500</v>
      </c>
      <c r="E59" s="190"/>
      <c r="F59" s="190">
        <f t="shared" si="2"/>
        <v>500</v>
      </c>
      <c r="G59" s="190">
        <v>500</v>
      </c>
      <c r="H59" s="190"/>
      <c r="I59" s="190">
        <f t="shared" si="4"/>
        <v>100</v>
      </c>
      <c r="J59" s="190">
        <f>(G59/D59)*100</f>
        <v>100</v>
      </c>
      <c r="K59" s="190"/>
    </row>
    <row r="60" spans="1:11" ht="31.5" customHeight="1">
      <c r="A60" s="189">
        <v>26</v>
      </c>
      <c r="B60" s="186" t="s">
        <v>263</v>
      </c>
      <c r="C60" s="190">
        <f t="shared" si="3"/>
        <v>98</v>
      </c>
      <c r="D60" s="190">
        <v>98</v>
      </c>
      <c r="E60" s="190"/>
      <c r="F60" s="190">
        <f t="shared" si="2"/>
        <v>98</v>
      </c>
      <c r="G60" s="190">
        <v>98</v>
      </c>
      <c r="H60" s="190"/>
      <c r="I60" s="190">
        <f t="shared" si="4"/>
        <v>100</v>
      </c>
      <c r="J60" s="190">
        <f>(G60/D60)*100</f>
        <v>100</v>
      </c>
      <c r="K60" s="190"/>
    </row>
    <row r="61" spans="1:11" ht="39" customHeight="1">
      <c r="A61" s="189">
        <v>27</v>
      </c>
      <c r="B61" s="186" t="s">
        <v>264</v>
      </c>
      <c r="C61" s="190">
        <f t="shared" si="3"/>
        <v>51</v>
      </c>
      <c r="D61" s="190"/>
      <c r="E61" s="190">
        <v>51</v>
      </c>
      <c r="F61" s="190">
        <f t="shared" si="2"/>
        <v>51</v>
      </c>
      <c r="G61" s="190"/>
      <c r="H61" s="190">
        <v>51</v>
      </c>
      <c r="I61" s="190">
        <f t="shared" si="4"/>
        <v>100</v>
      </c>
      <c r="J61" s="190"/>
      <c r="K61" s="190">
        <f t="shared" si="5"/>
        <v>100</v>
      </c>
    </row>
    <row r="62" spans="1:11" ht="24.75" customHeight="1">
      <c r="A62" s="189">
        <v>28</v>
      </c>
      <c r="B62" s="186" t="s">
        <v>248</v>
      </c>
      <c r="C62" s="190">
        <f t="shared" si="3"/>
        <v>110</v>
      </c>
      <c r="D62" s="190"/>
      <c r="E62" s="190">
        <v>110</v>
      </c>
      <c r="F62" s="190">
        <f t="shared" si="2"/>
        <v>110</v>
      </c>
      <c r="G62" s="190">
        <v>42</v>
      </c>
      <c r="H62" s="190">
        <v>68</v>
      </c>
      <c r="I62" s="190">
        <f t="shared" si="4"/>
        <v>100</v>
      </c>
      <c r="J62" s="190"/>
      <c r="K62" s="190">
        <f t="shared" si="5"/>
        <v>61.81818181818181</v>
      </c>
    </row>
    <row r="63" spans="1:11" ht="24.75" customHeight="1">
      <c r="A63" s="189">
        <v>29</v>
      </c>
      <c r="B63" s="186" t="s">
        <v>310</v>
      </c>
      <c r="C63" s="190">
        <f t="shared" si="3"/>
        <v>1000</v>
      </c>
      <c r="D63" s="190"/>
      <c r="E63" s="190">
        <v>1000</v>
      </c>
      <c r="F63" s="190">
        <f t="shared" si="2"/>
        <v>1000</v>
      </c>
      <c r="G63" s="190"/>
      <c r="H63" s="190">
        <v>1000</v>
      </c>
      <c r="I63" s="190">
        <f t="shared" si="4"/>
        <v>100</v>
      </c>
      <c r="J63" s="190"/>
      <c r="K63" s="190">
        <f t="shared" si="5"/>
        <v>100</v>
      </c>
    </row>
    <row r="64" spans="1:11" ht="33.75" customHeight="1">
      <c r="A64" s="189">
        <v>30</v>
      </c>
      <c r="B64" s="186" t="s">
        <v>265</v>
      </c>
      <c r="C64" s="190">
        <f t="shared" si="3"/>
        <v>1630</v>
      </c>
      <c r="D64" s="190"/>
      <c r="E64" s="190">
        <v>1630</v>
      </c>
      <c r="F64" s="190">
        <f t="shared" si="2"/>
        <v>1630</v>
      </c>
      <c r="G64" s="190"/>
      <c r="H64" s="190">
        <v>1630</v>
      </c>
      <c r="I64" s="190">
        <f t="shared" si="4"/>
        <v>100</v>
      </c>
      <c r="J64" s="190"/>
      <c r="K64" s="190">
        <f t="shared" si="5"/>
        <v>100</v>
      </c>
    </row>
    <row r="65" spans="1:11" ht="51" customHeight="1">
      <c r="A65" s="189">
        <v>31</v>
      </c>
      <c r="B65" s="186" t="s">
        <v>311</v>
      </c>
      <c r="C65" s="190">
        <f t="shared" si="3"/>
        <v>198</v>
      </c>
      <c r="D65" s="190">
        <v>198</v>
      </c>
      <c r="E65" s="190"/>
      <c r="F65" s="190">
        <f t="shared" si="2"/>
        <v>198</v>
      </c>
      <c r="G65" s="190">
        <v>198</v>
      </c>
      <c r="H65" s="190"/>
      <c r="I65" s="190">
        <f t="shared" si="4"/>
        <v>100</v>
      </c>
      <c r="J65" s="190">
        <f>(G65/D65)*100</f>
        <v>100</v>
      </c>
      <c r="K65" s="190"/>
    </row>
    <row r="66" spans="1:11" ht="50.25" customHeight="1">
      <c r="A66" s="189">
        <v>32</v>
      </c>
      <c r="B66" s="186" t="s">
        <v>266</v>
      </c>
      <c r="C66" s="190">
        <f t="shared" si="3"/>
        <v>553</v>
      </c>
      <c r="D66" s="190"/>
      <c r="E66" s="190">
        <v>553</v>
      </c>
      <c r="F66" s="190">
        <f t="shared" si="2"/>
        <v>553</v>
      </c>
      <c r="G66" s="190"/>
      <c r="H66" s="190">
        <v>553</v>
      </c>
      <c r="I66" s="190">
        <f t="shared" si="4"/>
        <v>100</v>
      </c>
      <c r="J66" s="190"/>
      <c r="K66" s="190">
        <f t="shared" si="5"/>
        <v>100</v>
      </c>
    </row>
    <row r="67" spans="1:11" ht="38.25" customHeight="1">
      <c r="A67" s="189">
        <v>33</v>
      </c>
      <c r="B67" s="186" t="s">
        <v>312</v>
      </c>
      <c r="C67" s="190">
        <f t="shared" si="3"/>
        <v>27</v>
      </c>
      <c r="D67" s="190"/>
      <c r="E67" s="190">
        <v>27</v>
      </c>
      <c r="F67" s="190">
        <f t="shared" si="2"/>
        <v>0</v>
      </c>
      <c r="G67" s="190"/>
      <c r="H67" s="190"/>
      <c r="I67" s="190">
        <f t="shared" si="4"/>
        <v>0</v>
      </c>
      <c r="J67" s="190"/>
      <c r="K67" s="190">
        <f t="shared" si="5"/>
        <v>0</v>
      </c>
    </row>
    <row r="68" spans="1:11" ht="33" customHeight="1">
      <c r="A68" s="189">
        <v>34</v>
      </c>
      <c r="B68" s="186" t="s">
        <v>313</v>
      </c>
      <c r="C68" s="190">
        <f t="shared" si="3"/>
        <v>671</v>
      </c>
      <c r="D68" s="190"/>
      <c r="E68" s="190">
        <v>671</v>
      </c>
      <c r="F68" s="190">
        <f t="shared" si="2"/>
        <v>777.2</v>
      </c>
      <c r="G68" s="190"/>
      <c r="H68" s="190">
        <v>777.2</v>
      </c>
      <c r="I68" s="190">
        <f t="shared" si="4"/>
        <v>115.82712369597617</v>
      </c>
      <c r="J68" s="190"/>
      <c r="K68" s="190">
        <f t="shared" si="5"/>
        <v>115.82712369597617</v>
      </c>
    </row>
    <row r="69" spans="1:11" ht="29.25" customHeight="1">
      <c r="A69" s="189">
        <v>35</v>
      </c>
      <c r="B69" s="186" t="s">
        <v>267</v>
      </c>
      <c r="C69" s="190">
        <f t="shared" si="3"/>
        <v>79</v>
      </c>
      <c r="D69" s="190"/>
      <c r="E69" s="190">
        <v>79</v>
      </c>
      <c r="F69" s="190">
        <f t="shared" si="2"/>
        <v>79</v>
      </c>
      <c r="G69" s="190"/>
      <c r="H69" s="190">
        <v>79</v>
      </c>
      <c r="I69" s="190">
        <f t="shared" si="4"/>
        <v>100</v>
      </c>
      <c r="J69" s="190"/>
      <c r="K69" s="190">
        <f t="shared" si="5"/>
        <v>100</v>
      </c>
    </row>
    <row r="70" spans="1:11" ht="51.75" customHeight="1">
      <c r="A70" s="189">
        <v>36</v>
      </c>
      <c r="B70" s="186" t="s">
        <v>314</v>
      </c>
      <c r="C70" s="190">
        <f t="shared" si="3"/>
        <v>1104</v>
      </c>
      <c r="D70" s="190"/>
      <c r="E70" s="190">
        <v>1104</v>
      </c>
      <c r="F70" s="190">
        <f t="shared" si="2"/>
        <v>1104</v>
      </c>
      <c r="G70" s="190">
        <v>1104</v>
      </c>
      <c r="H70" s="190"/>
      <c r="I70" s="190">
        <f t="shared" si="4"/>
        <v>100</v>
      </c>
      <c r="J70" s="190"/>
      <c r="K70" s="190">
        <f t="shared" si="5"/>
        <v>0</v>
      </c>
    </row>
    <row r="71" spans="1:11" ht="45" customHeight="1">
      <c r="A71" s="189">
        <v>37</v>
      </c>
      <c r="B71" s="186" t="s">
        <v>315</v>
      </c>
      <c r="C71" s="190">
        <f t="shared" si="3"/>
        <v>663</v>
      </c>
      <c r="D71" s="190"/>
      <c r="E71" s="190">
        <v>663</v>
      </c>
      <c r="F71" s="190">
        <f t="shared" si="2"/>
        <v>663</v>
      </c>
      <c r="G71" s="190"/>
      <c r="H71" s="190">
        <v>663</v>
      </c>
      <c r="I71" s="190">
        <f t="shared" si="4"/>
        <v>100</v>
      </c>
      <c r="J71" s="190"/>
      <c r="K71" s="190">
        <f t="shared" si="5"/>
        <v>100</v>
      </c>
    </row>
    <row r="72" spans="1:11" ht="69.75" customHeight="1">
      <c r="A72" s="189">
        <v>38</v>
      </c>
      <c r="B72" s="186" t="s">
        <v>316</v>
      </c>
      <c r="C72" s="190">
        <f t="shared" si="3"/>
        <v>20000</v>
      </c>
      <c r="D72" s="190">
        <v>20000</v>
      </c>
      <c r="E72" s="190"/>
      <c r="F72" s="190">
        <f t="shared" si="2"/>
        <v>20000</v>
      </c>
      <c r="G72" s="190">
        <v>20000</v>
      </c>
      <c r="H72" s="190"/>
      <c r="I72" s="190">
        <f t="shared" si="4"/>
        <v>100</v>
      </c>
      <c r="J72" s="190">
        <f>(G72/D72)*100</f>
        <v>100</v>
      </c>
      <c r="K72" s="190"/>
    </row>
    <row r="73" spans="1:11" ht="38.25" customHeight="1">
      <c r="A73" s="189">
        <v>39</v>
      </c>
      <c r="B73" s="186" t="s">
        <v>249</v>
      </c>
      <c r="C73" s="190">
        <f t="shared" si="3"/>
        <v>178</v>
      </c>
      <c r="D73" s="190">
        <v>178</v>
      </c>
      <c r="E73" s="190"/>
      <c r="F73" s="190">
        <f t="shared" si="2"/>
        <v>178</v>
      </c>
      <c r="G73" s="190">
        <v>178</v>
      </c>
      <c r="H73" s="190"/>
      <c r="I73" s="190">
        <f t="shared" si="4"/>
        <v>100</v>
      </c>
      <c r="J73" s="190">
        <f>(G73/D73)*100</f>
        <v>100</v>
      </c>
      <c r="K73" s="190"/>
    </row>
    <row r="74" spans="1:11" ht="35.25" customHeight="1">
      <c r="A74" s="189">
        <v>40</v>
      </c>
      <c r="B74" s="186" t="s">
        <v>317</v>
      </c>
      <c r="C74" s="190">
        <f t="shared" si="3"/>
        <v>0</v>
      </c>
      <c r="D74" s="190"/>
      <c r="E74" s="190"/>
      <c r="F74" s="190">
        <f t="shared" si="2"/>
        <v>615</v>
      </c>
      <c r="G74" s="190"/>
      <c r="H74" s="190">
        <v>615</v>
      </c>
      <c r="I74" s="190"/>
      <c r="J74" s="190"/>
      <c r="K74" s="190"/>
    </row>
    <row r="75" spans="1:11" ht="29.25" customHeight="1">
      <c r="A75" s="189">
        <v>41</v>
      </c>
      <c r="B75" s="186" t="s">
        <v>318</v>
      </c>
      <c r="C75" s="190">
        <f t="shared" si="3"/>
        <v>0</v>
      </c>
      <c r="D75" s="190"/>
      <c r="E75" s="190"/>
      <c r="F75" s="190">
        <f t="shared" si="2"/>
        <v>351.3</v>
      </c>
      <c r="G75" s="190">
        <v>351.3</v>
      </c>
      <c r="H75" s="190"/>
      <c r="I75" s="190"/>
      <c r="J75" s="190"/>
      <c r="K75" s="190"/>
    </row>
    <row r="76" spans="1:11" ht="45.75" customHeight="1">
      <c r="A76" s="189">
        <v>42</v>
      </c>
      <c r="B76" s="186" t="s">
        <v>319</v>
      </c>
      <c r="C76" s="190">
        <f t="shared" si="3"/>
        <v>0</v>
      </c>
      <c r="D76" s="190"/>
      <c r="E76" s="190"/>
      <c r="F76" s="190">
        <f t="shared" si="2"/>
        <v>2040</v>
      </c>
      <c r="G76" s="190">
        <v>331.2</v>
      </c>
      <c r="H76" s="190">
        <v>1708.8</v>
      </c>
      <c r="I76" s="190"/>
      <c r="J76" s="190"/>
      <c r="K76" s="190"/>
    </row>
    <row r="77" spans="1:11" ht="38.25" customHeight="1">
      <c r="A77" s="189">
        <v>43</v>
      </c>
      <c r="B77" s="186" t="s">
        <v>320</v>
      </c>
      <c r="C77" s="190">
        <f t="shared" si="3"/>
        <v>0</v>
      </c>
      <c r="D77" s="190"/>
      <c r="E77" s="190"/>
      <c r="F77" s="190">
        <f t="shared" si="2"/>
        <v>0</v>
      </c>
      <c r="G77" s="190"/>
      <c r="H77" s="190"/>
      <c r="I77" s="190"/>
      <c r="J77" s="190"/>
      <c r="K77" s="190"/>
    </row>
    <row r="78" spans="1:11" ht="54" customHeight="1">
      <c r="A78" s="189">
        <v>44</v>
      </c>
      <c r="B78" s="186" t="s">
        <v>321</v>
      </c>
      <c r="C78" s="190">
        <f t="shared" si="3"/>
        <v>0</v>
      </c>
      <c r="D78" s="190"/>
      <c r="E78" s="190"/>
      <c r="F78" s="190">
        <f t="shared" si="2"/>
        <v>50</v>
      </c>
      <c r="G78" s="190">
        <v>50</v>
      </c>
      <c r="H78" s="190"/>
      <c r="I78" s="190"/>
      <c r="J78" s="190"/>
      <c r="K78" s="190"/>
    </row>
    <row r="79" spans="1:11" ht="51" customHeight="1">
      <c r="A79" s="189">
        <v>45</v>
      </c>
      <c r="B79" s="186" t="s">
        <v>322</v>
      </c>
      <c r="C79" s="190">
        <f t="shared" si="3"/>
        <v>0</v>
      </c>
      <c r="D79" s="190"/>
      <c r="E79" s="190"/>
      <c r="F79" s="190">
        <f t="shared" si="2"/>
        <v>600</v>
      </c>
      <c r="G79" s="190">
        <v>600</v>
      </c>
      <c r="H79" s="190"/>
      <c r="I79" s="190"/>
      <c r="J79" s="190"/>
      <c r="K79" s="190"/>
    </row>
    <row r="80" spans="1:11" ht="31.5" customHeight="1">
      <c r="A80" s="189">
        <v>46</v>
      </c>
      <c r="B80" s="186" t="s">
        <v>323</v>
      </c>
      <c r="C80" s="190">
        <f t="shared" si="3"/>
        <v>0</v>
      </c>
      <c r="D80" s="190"/>
      <c r="E80" s="190"/>
      <c r="F80" s="190">
        <f t="shared" si="2"/>
        <v>1979.5</v>
      </c>
      <c r="G80" s="190"/>
      <c r="H80" s="190">
        <v>1979.5</v>
      </c>
      <c r="I80" s="190"/>
      <c r="J80" s="190"/>
      <c r="K80" s="190"/>
    </row>
    <row r="81" spans="1:11" ht="76.5">
      <c r="A81" s="189">
        <v>47</v>
      </c>
      <c r="B81" s="186" t="s">
        <v>324</v>
      </c>
      <c r="C81" s="190">
        <f t="shared" si="3"/>
        <v>0</v>
      </c>
      <c r="D81" s="190"/>
      <c r="E81" s="190"/>
      <c r="F81" s="190">
        <f t="shared" si="2"/>
        <v>248</v>
      </c>
      <c r="G81" s="190">
        <v>248</v>
      </c>
      <c r="H81" s="190"/>
      <c r="I81" s="190"/>
      <c r="J81" s="190"/>
      <c r="K81" s="190"/>
    </row>
    <row r="82" spans="1:11" ht="33.75" customHeight="1">
      <c r="A82" s="189">
        <v>48</v>
      </c>
      <c r="B82" s="186" t="s">
        <v>325</v>
      </c>
      <c r="C82" s="190">
        <f t="shared" si="3"/>
        <v>0</v>
      </c>
      <c r="D82" s="190"/>
      <c r="E82" s="190"/>
      <c r="F82" s="190">
        <f t="shared" si="2"/>
        <v>45257</v>
      </c>
      <c r="G82" s="190">
        <v>23759.258</v>
      </c>
      <c r="H82" s="190">
        <v>21497.742</v>
      </c>
      <c r="I82" s="190"/>
      <c r="J82" s="190"/>
      <c r="K82" s="190"/>
    </row>
    <row r="83" spans="1:11" ht="38.25" customHeight="1">
      <c r="A83" s="189">
        <v>49</v>
      </c>
      <c r="B83" s="186" t="s">
        <v>326</v>
      </c>
      <c r="C83" s="190">
        <f t="shared" si="3"/>
        <v>0</v>
      </c>
      <c r="D83" s="190"/>
      <c r="E83" s="190"/>
      <c r="F83" s="190">
        <f t="shared" si="2"/>
        <v>2000</v>
      </c>
      <c r="G83" s="190"/>
      <c r="H83" s="190">
        <v>2000</v>
      </c>
      <c r="I83" s="190"/>
      <c r="J83" s="190"/>
      <c r="K83" s="190"/>
    </row>
    <row r="84" spans="1:11" ht="48.75" customHeight="1">
      <c r="A84" s="189">
        <v>50</v>
      </c>
      <c r="B84" s="186" t="s">
        <v>327</v>
      </c>
      <c r="C84" s="190">
        <f t="shared" si="3"/>
        <v>0</v>
      </c>
      <c r="D84" s="190"/>
      <c r="E84" s="190"/>
      <c r="F84" s="190">
        <f t="shared" si="2"/>
        <v>2360</v>
      </c>
      <c r="G84" s="190"/>
      <c r="H84" s="190">
        <v>2360</v>
      </c>
      <c r="I84" s="190"/>
      <c r="J84" s="190"/>
      <c r="K84" s="190"/>
    </row>
    <row r="85" spans="1:11" ht="48.75" customHeight="1">
      <c r="A85" s="189">
        <v>51</v>
      </c>
      <c r="B85" s="186" t="s">
        <v>328</v>
      </c>
      <c r="C85" s="190">
        <f t="shared" si="3"/>
        <v>0</v>
      </c>
      <c r="D85" s="190"/>
      <c r="E85" s="190"/>
      <c r="F85" s="190">
        <f t="shared" si="2"/>
        <v>70</v>
      </c>
      <c r="G85" s="190">
        <v>70</v>
      </c>
      <c r="H85" s="190"/>
      <c r="I85" s="190"/>
      <c r="J85" s="190"/>
      <c r="K85" s="190"/>
    </row>
    <row r="86" spans="1:11" ht="46.5" customHeight="1">
      <c r="A86" s="189">
        <v>52</v>
      </c>
      <c r="B86" s="186" t="s">
        <v>329</v>
      </c>
      <c r="C86" s="190">
        <f t="shared" si="3"/>
        <v>0</v>
      </c>
      <c r="D86" s="190"/>
      <c r="E86" s="190"/>
      <c r="F86" s="190">
        <f t="shared" si="2"/>
        <v>7973.105</v>
      </c>
      <c r="G86" s="190"/>
      <c r="H86" s="190">
        <v>7973.105</v>
      </c>
      <c r="I86" s="190"/>
      <c r="J86" s="190"/>
      <c r="K86" s="190"/>
    </row>
    <row r="87" spans="1:11" ht="63.75" customHeight="1">
      <c r="A87" s="189">
        <v>53</v>
      </c>
      <c r="B87" s="186" t="s">
        <v>330</v>
      </c>
      <c r="C87" s="190">
        <f t="shared" si="3"/>
        <v>0</v>
      </c>
      <c r="D87" s="190"/>
      <c r="E87" s="190"/>
      <c r="F87" s="190">
        <f t="shared" si="2"/>
        <v>800</v>
      </c>
      <c r="G87" s="190"/>
      <c r="H87" s="190">
        <v>800</v>
      </c>
      <c r="I87" s="190"/>
      <c r="J87" s="190"/>
      <c r="K87" s="190"/>
    </row>
    <row r="88" spans="1:11" s="75" customFormat="1" ht="36.75" customHeight="1">
      <c r="A88" s="219" t="s">
        <v>66</v>
      </c>
      <c r="B88" s="187" t="s">
        <v>96</v>
      </c>
      <c r="C88" s="190">
        <f t="shared" si="3"/>
        <v>0</v>
      </c>
      <c r="D88" s="220"/>
      <c r="E88" s="220"/>
      <c r="F88" s="188">
        <f>G88+H88</f>
        <v>236207.298413</v>
      </c>
      <c r="G88" s="221">
        <v>163644.557065</v>
      </c>
      <c r="H88" s="221">
        <v>72562.741348</v>
      </c>
      <c r="I88" s="190"/>
      <c r="J88" s="190"/>
      <c r="K88" s="190"/>
    </row>
  </sheetData>
  <sheetProtection/>
  <mergeCells count="13">
    <mergeCell ref="I1:K1"/>
    <mergeCell ref="A4:K4"/>
    <mergeCell ref="A5:K5"/>
    <mergeCell ref="A8:A9"/>
    <mergeCell ref="B8:B9"/>
    <mergeCell ref="C8:C9"/>
    <mergeCell ref="D8:E8"/>
    <mergeCell ref="F8:F9"/>
    <mergeCell ref="G8:H8"/>
    <mergeCell ref="I8:K8"/>
    <mergeCell ref="I7:K7"/>
    <mergeCell ref="A1:B1"/>
    <mergeCell ref="A2:B2"/>
  </mergeCells>
  <printOptions/>
  <pageMargins left="0.7086614173228347" right="0.2362204724409449" top="0.42" bottom="0.5118110236220472" header="0.2362204724409449" footer="0.1968503937007874"/>
  <pageSetup horizontalDpi="600" verticalDpi="600" orientation="landscape" paperSize="9" r:id="rId2"/>
  <headerFooter>
    <oddFooter>&amp;RPage &amp;P</oddFooter>
  </headerFooter>
  <drawing r:id="rId1"/>
</worksheet>
</file>

<file path=xl/worksheets/sheet4.xml><?xml version="1.0" encoding="utf-8"?>
<worksheet xmlns="http://schemas.openxmlformats.org/spreadsheetml/2006/main" xmlns:r="http://schemas.openxmlformats.org/officeDocument/2006/relationships">
  <dimension ref="A1:K42"/>
  <sheetViews>
    <sheetView zoomScalePageLayoutView="0" workbookViewId="0" topLeftCell="A31">
      <selection activeCell="D12" sqref="D12"/>
    </sheetView>
  </sheetViews>
  <sheetFormatPr defaultColWidth="9.140625" defaultRowHeight="15"/>
  <cols>
    <col min="1" max="1" width="8.140625" style="67" customWidth="1"/>
    <col min="2" max="2" width="47.140625" style="67" customWidth="1"/>
    <col min="3" max="3" width="9.8515625" style="228" customWidth="1"/>
    <col min="4" max="4" width="10.8515625" style="228" customWidth="1"/>
    <col min="5" max="5" width="11.57421875" style="228" customWidth="1"/>
    <col min="6" max="16384" width="9.00390625" style="67" customWidth="1"/>
  </cols>
  <sheetData>
    <row r="1" spans="1:5" ht="15">
      <c r="A1" s="226" t="s">
        <v>0</v>
      </c>
      <c r="B1" s="227"/>
      <c r="D1" s="284" t="s">
        <v>108</v>
      </c>
      <c r="E1" s="284"/>
    </row>
    <row r="2" spans="1:5" ht="15">
      <c r="A2" s="226" t="s">
        <v>253</v>
      </c>
      <c r="B2" s="227"/>
      <c r="E2" s="229"/>
    </row>
    <row r="3" ht="13.5" customHeight="1">
      <c r="A3" s="230"/>
    </row>
    <row r="4" spans="1:5" ht="36.75" customHeight="1">
      <c r="A4" s="280" t="s">
        <v>331</v>
      </c>
      <c r="B4" s="281"/>
      <c r="C4" s="281"/>
      <c r="D4" s="281"/>
      <c r="E4" s="281"/>
    </row>
    <row r="5" spans="1:11" ht="23.25" customHeight="1">
      <c r="A5" s="282" t="s">
        <v>254</v>
      </c>
      <c r="B5" s="282"/>
      <c r="C5" s="282"/>
      <c r="D5" s="282"/>
      <c r="E5" s="282"/>
      <c r="F5" s="231"/>
      <c r="G5" s="231"/>
      <c r="H5" s="231"/>
      <c r="I5" s="231"/>
      <c r="J5" s="231"/>
      <c r="K5" s="231"/>
    </row>
    <row r="6" spans="1:11" ht="15">
      <c r="A6" s="232"/>
      <c r="B6" s="232"/>
      <c r="C6" s="232"/>
      <c r="D6" s="232"/>
      <c r="E6" s="232"/>
      <c r="F6" s="231"/>
      <c r="G6" s="231"/>
      <c r="H6" s="231"/>
      <c r="I6" s="231"/>
      <c r="J6" s="231"/>
      <c r="K6" s="231"/>
    </row>
    <row r="7" spans="4:5" ht="16.5" customHeight="1">
      <c r="D7" s="283" t="s">
        <v>2</v>
      </c>
      <c r="E7" s="283"/>
    </row>
    <row r="8" spans="1:5" ht="39" customHeight="1">
      <c r="A8" s="178" t="s">
        <v>3</v>
      </c>
      <c r="B8" s="178" t="s">
        <v>4</v>
      </c>
      <c r="C8" s="233" t="s">
        <v>28</v>
      </c>
      <c r="D8" s="233" t="s">
        <v>6</v>
      </c>
      <c r="E8" s="233" t="s">
        <v>7</v>
      </c>
    </row>
    <row r="9" spans="1:5" s="234" customFormat="1" ht="16.5" customHeight="1">
      <c r="A9" s="68" t="s">
        <v>8</v>
      </c>
      <c r="B9" s="68" t="s">
        <v>9</v>
      </c>
      <c r="C9" s="68">
        <v>1</v>
      </c>
      <c r="D9" s="68">
        <v>2</v>
      </c>
      <c r="E9" s="68" t="s">
        <v>10</v>
      </c>
    </row>
    <row r="10" spans="1:9" s="236" customFormat="1" ht="25.5" customHeight="1">
      <c r="A10" s="178"/>
      <c r="B10" s="178" t="s">
        <v>243</v>
      </c>
      <c r="C10" s="233">
        <f>C11+C12+C42</f>
        <v>695251</v>
      </c>
      <c r="D10" s="233">
        <f>D11+D12+D42</f>
        <v>983106.0898750001</v>
      </c>
      <c r="E10" s="235">
        <f>(D10/C10)*100</f>
        <v>141.4030457884994</v>
      </c>
      <c r="I10" s="237">
        <f>D10-D11</f>
        <v>931786.0898750001</v>
      </c>
    </row>
    <row r="11" spans="1:5" s="236" customFormat="1" ht="24" customHeight="1">
      <c r="A11" s="178" t="s">
        <v>8</v>
      </c>
      <c r="B11" s="69" t="s">
        <v>109</v>
      </c>
      <c r="C11" s="233">
        <v>51320</v>
      </c>
      <c r="D11" s="233">
        <v>51320</v>
      </c>
      <c r="E11" s="235">
        <f>(D11/C11)*100</f>
        <v>100</v>
      </c>
    </row>
    <row r="12" spans="1:5" s="236" customFormat="1" ht="24" customHeight="1">
      <c r="A12" s="178" t="s">
        <v>9</v>
      </c>
      <c r="B12" s="69" t="s">
        <v>110</v>
      </c>
      <c r="C12" s="233">
        <f>C14+C28+C40+C41</f>
        <v>643931</v>
      </c>
      <c r="D12" s="233">
        <f>D14+D28+D40+D41</f>
        <v>768141.5328100001</v>
      </c>
      <c r="E12" s="235">
        <f>(D12/C12)*100</f>
        <v>119.28941653841795</v>
      </c>
    </row>
    <row r="13" spans="1:5" ht="21" customHeight="1">
      <c r="A13" s="238"/>
      <c r="B13" s="167" t="s">
        <v>50</v>
      </c>
      <c r="C13" s="239"/>
      <c r="D13" s="239"/>
      <c r="E13" s="239"/>
    </row>
    <row r="14" spans="1:5" s="236" customFormat="1" ht="20.25" customHeight="1">
      <c r="A14" s="178" t="s">
        <v>34</v>
      </c>
      <c r="B14" s="69" t="s">
        <v>21</v>
      </c>
      <c r="C14" s="233">
        <f>C15+C27</f>
        <v>283440</v>
      </c>
      <c r="D14" s="233">
        <f>D15+D27</f>
        <v>392484.737487</v>
      </c>
      <c r="E14" s="235">
        <f>(D14/C14)*100</f>
        <v>138.471894399873</v>
      </c>
    </row>
    <row r="15" spans="1:5" ht="20.25" customHeight="1">
      <c r="A15" s="238">
        <v>1</v>
      </c>
      <c r="B15" s="70" t="s">
        <v>83</v>
      </c>
      <c r="C15" s="240">
        <v>200902</v>
      </c>
      <c r="D15" s="239">
        <v>392484.737487</v>
      </c>
      <c r="E15" s="241">
        <f>(D15/C15)*100</f>
        <v>195.3612893286279</v>
      </c>
    </row>
    <row r="16" spans="1:5" s="244" customFormat="1" ht="18.75" customHeight="1">
      <c r="A16" s="242"/>
      <c r="B16" s="72" t="s">
        <v>50</v>
      </c>
      <c r="C16" s="243"/>
      <c r="D16" s="243"/>
      <c r="E16" s="243"/>
    </row>
    <row r="17" spans="1:5" s="244" customFormat="1" ht="24.75" customHeight="1">
      <c r="A17" s="245" t="s">
        <v>111</v>
      </c>
      <c r="B17" s="246" t="s">
        <v>85</v>
      </c>
      <c r="C17" s="247">
        <v>32844</v>
      </c>
      <c r="D17" s="247">
        <v>38639.474</v>
      </c>
      <c r="E17" s="248">
        <f>(D17/C17)*100</f>
        <v>117.64545731336014</v>
      </c>
    </row>
    <row r="18" spans="1:5" s="244" customFormat="1" ht="24.75" customHeight="1">
      <c r="A18" s="245" t="s">
        <v>112</v>
      </c>
      <c r="B18" s="246" t="s">
        <v>86</v>
      </c>
      <c r="C18" s="249">
        <v>567</v>
      </c>
      <c r="D18" s="249">
        <v>343.108</v>
      </c>
      <c r="E18" s="248">
        <f>(D18/C18)*100</f>
        <v>60.51287477954145</v>
      </c>
    </row>
    <row r="19" spans="1:5" s="244" customFormat="1" ht="24.75" customHeight="1">
      <c r="A19" s="245" t="s">
        <v>113</v>
      </c>
      <c r="B19" s="246" t="s">
        <v>114</v>
      </c>
      <c r="C19" s="250"/>
      <c r="D19" s="250">
        <v>2.281</v>
      </c>
      <c r="E19" s="248"/>
    </row>
    <row r="20" spans="1:5" s="244" customFormat="1" ht="24.75" customHeight="1">
      <c r="A20" s="245" t="s">
        <v>115</v>
      </c>
      <c r="B20" s="246" t="s">
        <v>116</v>
      </c>
      <c r="C20" s="250">
        <v>1771</v>
      </c>
      <c r="D20" s="250">
        <v>2146.598</v>
      </c>
      <c r="E20" s="248">
        <f>(D20/C20)*100</f>
        <v>121.20824392998306</v>
      </c>
    </row>
    <row r="21" spans="1:5" s="244" customFormat="1" ht="24.75" customHeight="1">
      <c r="A21" s="245" t="s">
        <v>117</v>
      </c>
      <c r="B21" s="246" t="s">
        <v>118</v>
      </c>
      <c r="C21" s="250"/>
      <c r="D21" s="250">
        <v>14.68</v>
      </c>
      <c r="E21" s="248"/>
    </row>
    <row r="22" spans="1:5" s="244" customFormat="1" ht="24.75" customHeight="1">
      <c r="A22" s="245" t="s">
        <v>119</v>
      </c>
      <c r="B22" s="246" t="s">
        <v>120</v>
      </c>
      <c r="C22" s="250">
        <v>1306</v>
      </c>
      <c r="D22" s="250">
        <v>1647.68</v>
      </c>
      <c r="E22" s="248">
        <f>(D22/C22)*100</f>
        <v>126.1623277182236</v>
      </c>
    </row>
    <row r="23" spans="1:5" s="244" customFormat="1" ht="24.75" customHeight="1">
      <c r="A23" s="245" t="s">
        <v>121</v>
      </c>
      <c r="B23" s="246" t="s">
        <v>122</v>
      </c>
      <c r="C23" s="250">
        <v>905</v>
      </c>
      <c r="D23" s="250">
        <v>793.719</v>
      </c>
      <c r="E23" s="248">
        <f>(D23/C23)*100</f>
        <v>87.70375690607736</v>
      </c>
    </row>
    <row r="24" spans="1:5" s="244" customFormat="1" ht="24.75" customHeight="1">
      <c r="A24" s="245" t="s">
        <v>123</v>
      </c>
      <c r="B24" s="246" t="s">
        <v>124</v>
      </c>
      <c r="C24" s="250">
        <v>159293</v>
      </c>
      <c r="D24" s="250">
        <v>347736.652487</v>
      </c>
      <c r="E24" s="248">
        <f>(D24/C24)*100</f>
        <v>218.30002102226715</v>
      </c>
    </row>
    <row r="25" spans="1:5" s="244" customFormat="1" ht="39" customHeight="1">
      <c r="A25" s="245" t="s">
        <v>125</v>
      </c>
      <c r="B25" s="246" t="s">
        <v>126</v>
      </c>
      <c r="C25" s="250">
        <v>3513</v>
      </c>
      <c r="D25" s="250">
        <v>537.341</v>
      </c>
      <c r="E25" s="248">
        <f>(D25/C25)*100</f>
        <v>15.295787076572731</v>
      </c>
    </row>
    <row r="26" spans="1:5" s="244" customFormat="1" ht="31.5" customHeight="1">
      <c r="A26" s="245" t="s">
        <v>127</v>
      </c>
      <c r="B26" s="246" t="s">
        <v>128</v>
      </c>
      <c r="C26" s="250">
        <v>275</v>
      </c>
      <c r="D26" s="250">
        <v>273.208</v>
      </c>
      <c r="E26" s="248">
        <f>(D26/C26)*100</f>
        <v>99.34836363636364</v>
      </c>
    </row>
    <row r="27" spans="1:5" ht="25.5" customHeight="1">
      <c r="A27" s="238">
        <v>2</v>
      </c>
      <c r="B27" s="70" t="s">
        <v>87</v>
      </c>
      <c r="C27" s="240">
        <v>82538</v>
      </c>
      <c r="D27" s="239"/>
      <c r="E27" s="239"/>
    </row>
    <row r="28" spans="1:5" s="236" customFormat="1" ht="25.5" customHeight="1">
      <c r="A28" s="178" t="s">
        <v>25</v>
      </c>
      <c r="B28" s="69" t="s">
        <v>22</v>
      </c>
      <c r="C28" s="251">
        <v>347109</v>
      </c>
      <c r="D28" s="251">
        <v>347078.61474</v>
      </c>
      <c r="E28" s="235">
        <f>(D28/C28)*100</f>
        <v>99.99124619067786</v>
      </c>
    </row>
    <row r="29" spans="1:5" ht="25.5" customHeight="1">
      <c r="A29" s="252"/>
      <c r="B29" s="72" t="s">
        <v>50</v>
      </c>
      <c r="C29" s="253"/>
      <c r="D29" s="254"/>
      <c r="E29" s="254"/>
    </row>
    <row r="30" spans="1:5" ht="25.5" customHeight="1">
      <c r="A30" s="255">
        <v>1</v>
      </c>
      <c r="B30" s="71" t="s">
        <v>85</v>
      </c>
      <c r="C30" s="256">
        <f>311260-20000-178</f>
        <v>291082</v>
      </c>
      <c r="D30" s="256">
        <v>287111.9240835</v>
      </c>
      <c r="E30" s="261">
        <f aca="true" t="shared" si="0" ref="E30:E40">(D30/C30)*100</f>
        <v>98.63609707350506</v>
      </c>
    </row>
    <row r="31" spans="1:5" ht="25.5" customHeight="1">
      <c r="A31" s="255">
        <v>2</v>
      </c>
      <c r="B31" s="71" t="s">
        <v>86</v>
      </c>
      <c r="C31" s="256">
        <v>280</v>
      </c>
      <c r="D31" s="256">
        <v>267.74</v>
      </c>
      <c r="E31" s="261">
        <f t="shared" si="0"/>
        <v>95.62142857142858</v>
      </c>
    </row>
    <row r="32" spans="1:5" ht="25.5" customHeight="1">
      <c r="A32" s="255">
        <v>3</v>
      </c>
      <c r="B32" s="71" t="s">
        <v>129</v>
      </c>
      <c r="C32" s="257"/>
      <c r="D32" s="257"/>
      <c r="E32" s="261"/>
    </row>
    <row r="33" spans="1:5" ht="25.5" customHeight="1">
      <c r="A33" s="255">
        <v>4</v>
      </c>
      <c r="B33" s="71" t="s">
        <v>130</v>
      </c>
      <c r="C33" s="257">
        <f>4277-30</f>
        <v>4247</v>
      </c>
      <c r="D33" s="257">
        <v>3471.138958</v>
      </c>
      <c r="E33" s="261">
        <f t="shared" si="0"/>
        <v>81.73155069460796</v>
      </c>
    </row>
    <row r="34" spans="1:5" ht="25.5" customHeight="1">
      <c r="A34" s="255">
        <v>5</v>
      </c>
      <c r="B34" s="71" t="s">
        <v>131</v>
      </c>
      <c r="C34" s="257"/>
      <c r="D34" s="257"/>
      <c r="E34" s="261"/>
    </row>
    <row r="35" spans="1:5" ht="25.5" customHeight="1">
      <c r="A35" s="255">
        <v>6</v>
      </c>
      <c r="B35" s="71" t="s">
        <v>132</v>
      </c>
      <c r="C35" s="258">
        <v>900</v>
      </c>
      <c r="D35" s="258">
        <v>390.562102</v>
      </c>
      <c r="E35" s="261">
        <f t="shared" si="0"/>
        <v>43.395789111111114</v>
      </c>
    </row>
    <row r="36" spans="1:5" ht="25.5" customHeight="1">
      <c r="A36" s="255">
        <v>7</v>
      </c>
      <c r="B36" s="71" t="s">
        <v>133</v>
      </c>
      <c r="C36" s="258">
        <f>44457-10830-26950</f>
        <v>6677</v>
      </c>
      <c r="D36" s="258">
        <f>21273.989938-9002-1387</f>
        <v>10884.989937999999</v>
      </c>
      <c r="E36" s="261">
        <f t="shared" si="0"/>
        <v>163.02216471469222</v>
      </c>
    </row>
    <row r="37" spans="1:5" ht="39" customHeight="1">
      <c r="A37" s="255">
        <v>8</v>
      </c>
      <c r="B37" s="71" t="s">
        <v>134</v>
      </c>
      <c r="C37" s="258">
        <f>32873-98</f>
        <v>32775</v>
      </c>
      <c r="D37" s="258">
        <f>32330.430278</f>
        <v>32330.430278</v>
      </c>
      <c r="E37" s="261">
        <f t="shared" si="0"/>
        <v>98.64357064225781</v>
      </c>
    </row>
    <row r="38" spans="1:5" ht="25.5" customHeight="1">
      <c r="A38" s="255">
        <v>9</v>
      </c>
      <c r="B38" s="71" t="s">
        <v>135</v>
      </c>
      <c r="C38" s="258">
        <f>65110-57530-198</f>
        <v>7382</v>
      </c>
      <c r="D38" s="258">
        <f>110954.374105-96951-198-761-10-351-600</f>
        <v>12083.374104999995</v>
      </c>
      <c r="E38" s="261">
        <f t="shared" si="0"/>
        <v>163.6869968165808</v>
      </c>
    </row>
    <row r="39" spans="1:5" ht="25.5" customHeight="1">
      <c r="A39" s="255">
        <v>10</v>
      </c>
      <c r="B39" s="71" t="s">
        <v>136</v>
      </c>
      <c r="C39" s="258"/>
      <c r="D39" s="258"/>
      <c r="E39" s="257"/>
    </row>
    <row r="40" spans="1:5" s="236" customFormat="1" ht="25.5" customHeight="1">
      <c r="A40" s="178" t="s">
        <v>88</v>
      </c>
      <c r="B40" s="69" t="s">
        <v>137</v>
      </c>
      <c r="C40" s="251">
        <v>13382</v>
      </c>
      <c r="D40" s="251">
        <v>11880.882925</v>
      </c>
      <c r="E40" s="235">
        <f t="shared" si="0"/>
        <v>88.78256557315797</v>
      </c>
    </row>
    <row r="41" spans="1:5" s="236" customFormat="1" ht="25.5" customHeight="1">
      <c r="A41" s="178" t="s">
        <v>89</v>
      </c>
      <c r="B41" s="69" t="s">
        <v>23</v>
      </c>
      <c r="C41" s="259"/>
      <c r="D41" s="259">
        <v>16697.297658</v>
      </c>
      <c r="E41" s="233"/>
    </row>
    <row r="42" spans="1:5" s="236" customFormat="1" ht="25.5" customHeight="1">
      <c r="A42" s="178" t="s">
        <v>66</v>
      </c>
      <c r="B42" s="69" t="s">
        <v>96</v>
      </c>
      <c r="C42" s="259"/>
      <c r="D42" s="260">
        <v>163644.557065</v>
      </c>
      <c r="E42" s="233"/>
    </row>
  </sheetData>
  <sheetProtection/>
  <mergeCells count="4">
    <mergeCell ref="A4:E4"/>
    <mergeCell ref="A5:E5"/>
    <mergeCell ref="D7:E7"/>
    <mergeCell ref="D1:E1"/>
  </mergeCells>
  <printOptions/>
  <pageMargins left="0.7086614173228347" right="0.1968503937007874" top="0.7480314960629921" bottom="0.4330708661417323"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54"/>
  <sheetViews>
    <sheetView zoomScalePageLayoutView="0" workbookViewId="0" topLeftCell="A1">
      <pane ySplit="9" topLeftCell="A10" activePane="bottomLeft" state="frozen"/>
      <selection pane="topLeft" activeCell="A1" sqref="A1"/>
      <selection pane="bottomLeft" activeCell="I36" sqref="I36"/>
    </sheetView>
  </sheetViews>
  <sheetFormatPr defaultColWidth="9.140625" defaultRowHeight="15"/>
  <cols>
    <col min="1" max="1" width="6.7109375" style="133" customWidth="1"/>
    <col min="2" max="2" width="30.57421875" style="133" customWidth="1"/>
    <col min="3" max="3" width="8.7109375" style="132" customWidth="1"/>
    <col min="4" max="4" width="9.140625" style="132" customWidth="1"/>
    <col min="5" max="5" width="9.57421875" style="132" customWidth="1"/>
    <col min="6" max="6" width="5.8515625" style="132" customWidth="1"/>
    <col min="7" max="7" width="6.8515625" style="132" customWidth="1"/>
    <col min="8" max="8" width="9.28125" style="132" customWidth="1"/>
    <col min="9" max="9" width="9.00390625" style="132" customWidth="1"/>
    <col min="10" max="10" width="8.7109375" style="132" customWidth="1"/>
    <col min="11" max="11" width="7.57421875" style="132" customWidth="1"/>
    <col min="12" max="12" width="5.7109375" style="132" customWidth="1"/>
    <col min="13" max="13" width="6.7109375" style="132" customWidth="1"/>
    <col min="14" max="14" width="7.7109375" style="132" customWidth="1"/>
    <col min="15" max="15" width="8.00390625" style="132" customWidth="1"/>
    <col min="16" max="16" width="10.00390625" style="132" customWidth="1"/>
    <col min="17" max="17" width="7.7109375" style="132" customWidth="1"/>
    <col min="18" max="18" width="7.140625" style="132" customWidth="1"/>
    <col min="19" max="19" width="9.57421875" style="132" customWidth="1"/>
    <col min="20" max="20" width="8.7109375" style="132" customWidth="1"/>
    <col min="21" max="21" width="6.28125" style="132" customWidth="1"/>
    <col min="22" max="16384" width="9.00390625" style="133" customWidth="1"/>
  </cols>
  <sheetData>
    <row r="1" spans="1:21" ht="18" customHeight="1">
      <c r="A1" s="288" t="s">
        <v>0</v>
      </c>
      <c r="B1" s="288"/>
      <c r="S1" s="286" t="s">
        <v>138</v>
      </c>
      <c r="T1" s="286"/>
      <c r="U1" s="286"/>
    </row>
    <row r="2" spans="1:20" ht="18.75">
      <c r="A2" s="288" t="s">
        <v>239</v>
      </c>
      <c r="B2" s="288"/>
      <c r="S2" s="134"/>
      <c r="T2" s="134"/>
    </row>
    <row r="3" ht="11.25" customHeight="1"/>
    <row r="4" spans="1:21" ht="21" customHeight="1">
      <c r="A4" s="288" t="s">
        <v>332</v>
      </c>
      <c r="B4" s="288"/>
      <c r="C4" s="288"/>
      <c r="D4" s="288"/>
      <c r="E4" s="288"/>
      <c r="F4" s="288"/>
      <c r="G4" s="288"/>
      <c r="H4" s="288"/>
      <c r="I4" s="288"/>
      <c r="J4" s="288"/>
      <c r="K4" s="288"/>
      <c r="L4" s="288"/>
      <c r="M4" s="288"/>
      <c r="N4" s="288"/>
      <c r="O4" s="288"/>
      <c r="P4" s="288"/>
      <c r="Q4" s="288"/>
      <c r="R4" s="288"/>
      <c r="S4" s="288"/>
      <c r="T4" s="288"/>
      <c r="U4" s="288"/>
    </row>
    <row r="5" spans="1:21" ht="20.25" customHeight="1">
      <c r="A5" s="289" t="s">
        <v>333</v>
      </c>
      <c r="B5" s="289"/>
      <c r="C5" s="289"/>
      <c r="D5" s="289"/>
      <c r="E5" s="289"/>
      <c r="F5" s="289"/>
      <c r="G5" s="289"/>
      <c r="H5" s="289"/>
      <c r="I5" s="289"/>
      <c r="J5" s="289"/>
      <c r="K5" s="289"/>
      <c r="L5" s="289"/>
      <c r="M5" s="289"/>
      <c r="N5" s="289"/>
      <c r="O5" s="289"/>
      <c r="P5" s="289"/>
      <c r="Q5" s="289"/>
      <c r="R5" s="289"/>
      <c r="S5" s="289"/>
      <c r="T5" s="289"/>
      <c r="U5" s="289"/>
    </row>
    <row r="6" spans="18:21" ht="14.25" customHeight="1">
      <c r="R6" s="285" t="s">
        <v>2</v>
      </c>
      <c r="S6" s="285"/>
      <c r="T6" s="285"/>
      <c r="U6" s="285"/>
    </row>
    <row r="7" spans="1:21" ht="29.25" customHeight="1">
      <c r="A7" s="290" t="s">
        <v>3</v>
      </c>
      <c r="B7" s="290" t="s">
        <v>139</v>
      </c>
      <c r="C7" s="292" t="s">
        <v>140</v>
      </c>
      <c r="D7" s="293"/>
      <c r="E7" s="293"/>
      <c r="F7" s="293"/>
      <c r="G7" s="294"/>
      <c r="H7" s="292" t="s">
        <v>141</v>
      </c>
      <c r="I7" s="293"/>
      <c r="J7" s="293"/>
      <c r="K7" s="293"/>
      <c r="L7" s="293"/>
      <c r="M7" s="293"/>
      <c r="N7" s="293"/>
      <c r="O7" s="293"/>
      <c r="P7" s="293"/>
      <c r="Q7" s="294"/>
      <c r="R7" s="291" t="s">
        <v>142</v>
      </c>
      <c r="S7" s="291"/>
      <c r="T7" s="291"/>
      <c r="U7" s="291"/>
    </row>
    <row r="8" spans="1:21" ht="24.75" customHeight="1">
      <c r="A8" s="290"/>
      <c r="B8" s="290"/>
      <c r="C8" s="287" t="s">
        <v>143</v>
      </c>
      <c r="D8" s="287" t="s">
        <v>144</v>
      </c>
      <c r="E8" s="287" t="s">
        <v>145</v>
      </c>
      <c r="F8" s="287" t="s">
        <v>146</v>
      </c>
      <c r="G8" s="287" t="s">
        <v>233</v>
      </c>
      <c r="H8" s="287" t="s">
        <v>143</v>
      </c>
      <c r="I8" s="287" t="s">
        <v>144</v>
      </c>
      <c r="J8" s="287" t="s">
        <v>147</v>
      </c>
      <c r="K8" s="287" t="s">
        <v>146</v>
      </c>
      <c r="L8" s="287" t="s">
        <v>148</v>
      </c>
      <c r="M8" s="287"/>
      <c r="N8" s="287"/>
      <c r="O8" s="287" t="s">
        <v>149</v>
      </c>
      <c r="P8" s="287" t="s">
        <v>233</v>
      </c>
      <c r="Q8" s="287" t="s">
        <v>232</v>
      </c>
      <c r="R8" s="287" t="s">
        <v>143</v>
      </c>
      <c r="S8" s="287" t="s">
        <v>144</v>
      </c>
      <c r="T8" s="287" t="s">
        <v>147</v>
      </c>
      <c r="U8" s="287" t="s">
        <v>146</v>
      </c>
    </row>
    <row r="9" spans="1:21" ht="105.75" customHeight="1">
      <c r="A9" s="290"/>
      <c r="B9" s="290"/>
      <c r="C9" s="287"/>
      <c r="D9" s="287"/>
      <c r="E9" s="287"/>
      <c r="F9" s="287"/>
      <c r="G9" s="287"/>
      <c r="H9" s="287"/>
      <c r="I9" s="287"/>
      <c r="J9" s="287"/>
      <c r="K9" s="287"/>
      <c r="L9" s="135" t="s">
        <v>143</v>
      </c>
      <c r="M9" s="135" t="s">
        <v>150</v>
      </c>
      <c r="N9" s="135" t="s">
        <v>145</v>
      </c>
      <c r="O9" s="287"/>
      <c r="P9" s="287"/>
      <c r="Q9" s="287"/>
      <c r="R9" s="287"/>
      <c r="S9" s="287"/>
      <c r="T9" s="287"/>
      <c r="U9" s="287"/>
    </row>
    <row r="10" spans="1:21" s="137" customFormat="1" ht="18" customHeight="1">
      <c r="A10" s="136" t="s">
        <v>8</v>
      </c>
      <c r="B10" s="136" t="s">
        <v>9</v>
      </c>
      <c r="C10" s="136">
        <v>1</v>
      </c>
      <c r="D10" s="136">
        <v>2</v>
      </c>
      <c r="E10" s="136">
        <v>3</v>
      </c>
      <c r="F10" s="136">
        <v>4</v>
      </c>
      <c r="G10" s="136">
        <v>5</v>
      </c>
      <c r="H10" s="136">
        <v>6</v>
      </c>
      <c r="I10" s="136">
        <v>7</v>
      </c>
      <c r="J10" s="136">
        <v>8</v>
      </c>
      <c r="K10" s="136">
        <v>9</v>
      </c>
      <c r="L10" s="136">
        <v>10</v>
      </c>
      <c r="M10" s="136">
        <v>11</v>
      </c>
      <c r="N10" s="136">
        <v>12</v>
      </c>
      <c r="O10" s="136">
        <v>13</v>
      </c>
      <c r="P10" s="136">
        <v>14</v>
      </c>
      <c r="Q10" s="136">
        <v>15</v>
      </c>
      <c r="R10" s="136" t="s">
        <v>234</v>
      </c>
      <c r="S10" s="136" t="s">
        <v>235</v>
      </c>
      <c r="T10" s="136" t="s">
        <v>236</v>
      </c>
      <c r="U10" s="136" t="s">
        <v>237</v>
      </c>
    </row>
    <row r="11" spans="1:21" s="92" customFormat="1" ht="22.5" customHeight="1">
      <c r="A11" s="138"/>
      <c r="B11" s="138" t="s">
        <v>143</v>
      </c>
      <c r="C11" s="91">
        <f aca="true" t="shared" si="0" ref="C11:Q11">C12+C50+C51+C52+C53+C54</f>
        <v>643931</v>
      </c>
      <c r="D11" s="170">
        <f t="shared" si="0"/>
        <v>283440</v>
      </c>
      <c r="E11" s="170">
        <f t="shared" si="0"/>
        <v>360491</v>
      </c>
      <c r="F11" s="170">
        <f t="shared" si="0"/>
        <v>0</v>
      </c>
      <c r="G11" s="170">
        <f t="shared" si="0"/>
        <v>0</v>
      </c>
      <c r="H11" s="170">
        <f t="shared" si="0"/>
        <v>1016043.352227</v>
      </c>
      <c r="I11" s="170">
        <f t="shared" si="0"/>
        <v>392484.737487</v>
      </c>
      <c r="J11" s="170">
        <f t="shared" si="0"/>
        <v>358959.61474</v>
      </c>
      <c r="K11" s="170">
        <f t="shared" si="0"/>
        <v>0</v>
      </c>
      <c r="L11" s="170">
        <f t="shared" si="0"/>
        <v>0</v>
      </c>
      <c r="M11" s="170">
        <f t="shared" si="0"/>
        <v>0</v>
      </c>
      <c r="N11" s="170">
        <f t="shared" si="0"/>
        <v>0</v>
      </c>
      <c r="O11" s="170">
        <f t="shared" si="0"/>
        <v>163645</v>
      </c>
      <c r="P11" s="170">
        <f t="shared" si="0"/>
        <v>84257</v>
      </c>
      <c r="Q11" s="170">
        <f t="shared" si="0"/>
        <v>16697</v>
      </c>
      <c r="R11" s="139">
        <f>(H11/C11)*100</f>
        <v>157.7876126831912</v>
      </c>
      <c r="S11" s="139">
        <f>(I11/D11)*100</f>
        <v>138.471894399873</v>
      </c>
      <c r="T11" s="139">
        <f>(J11/E11)*100</f>
        <v>99.57519459293019</v>
      </c>
      <c r="U11" s="139"/>
    </row>
    <row r="12" spans="1:21" s="92" customFormat="1" ht="22.5" customHeight="1">
      <c r="A12" s="138" t="s">
        <v>34</v>
      </c>
      <c r="B12" s="140" t="s">
        <v>151</v>
      </c>
      <c r="C12" s="183">
        <f>SUM(D12:G12)</f>
        <v>630549</v>
      </c>
      <c r="D12" s="183">
        <v>283440</v>
      </c>
      <c r="E12" s="183">
        <v>347109</v>
      </c>
      <c r="F12" s="183"/>
      <c r="G12" s="183"/>
      <c r="H12" s="183">
        <f>SUM(I12:K12)+O12+P12+Q12</f>
        <v>739563.352227</v>
      </c>
      <c r="I12" s="183">
        <v>392484.737487</v>
      </c>
      <c r="J12" s="183">
        <f>347078.61474</f>
        <v>347078.61474</v>
      </c>
      <c r="K12" s="183"/>
      <c r="L12" s="183"/>
      <c r="M12" s="183"/>
      <c r="N12" s="183"/>
      <c r="O12" s="183"/>
      <c r="P12" s="183"/>
      <c r="Q12" s="183"/>
      <c r="R12" s="139">
        <f>(H12/C12)*100</f>
        <v>117.28879947902541</v>
      </c>
      <c r="S12" s="139">
        <f>(I12/D12)*100</f>
        <v>138.471894399873</v>
      </c>
      <c r="T12" s="139">
        <f aca="true" t="shared" si="1" ref="T12:T38">(J12/E12)*100</f>
        <v>99.99124619067786</v>
      </c>
      <c r="U12" s="139"/>
    </row>
    <row r="13" spans="1:21" s="151" customFormat="1" ht="22.5" customHeight="1">
      <c r="A13" s="152"/>
      <c r="B13" s="153" t="s">
        <v>50</v>
      </c>
      <c r="C13" s="154"/>
      <c r="D13" s="154"/>
      <c r="E13" s="154"/>
      <c r="F13" s="154"/>
      <c r="G13" s="154"/>
      <c r="H13" s="154"/>
      <c r="I13" s="154"/>
      <c r="J13" s="154"/>
      <c r="K13" s="154"/>
      <c r="L13" s="154"/>
      <c r="M13" s="154"/>
      <c r="N13" s="154"/>
      <c r="O13" s="154"/>
      <c r="P13" s="154"/>
      <c r="Q13" s="154"/>
      <c r="R13" s="155"/>
      <c r="S13" s="155"/>
      <c r="T13" s="155"/>
      <c r="U13" s="155"/>
    </row>
    <row r="14" spans="1:21" ht="22.5" customHeight="1">
      <c r="A14" s="174">
        <v>1</v>
      </c>
      <c r="B14" s="175" t="s">
        <v>334</v>
      </c>
      <c r="C14" s="141">
        <f aca="true" t="shared" si="2" ref="C14:C44">SUM(D14:F14)</f>
        <v>7689</v>
      </c>
      <c r="D14" s="141"/>
      <c r="E14" s="141">
        <f>6489+1200</f>
        <v>7689</v>
      </c>
      <c r="F14" s="141"/>
      <c r="G14" s="141"/>
      <c r="H14" s="141">
        <f>SUM(I14:K14)+L14+O14</f>
        <v>6670</v>
      </c>
      <c r="I14" s="141"/>
      <c r="J14" s="141">
        <v>6670</v>
      </c>
      <c r="K14" s="141"/>
      <c r="L14" s="141"/>
      <c r="M14" s="141"/>
      <c r="N14" s="141"/>
      <c r="O14" s="141"/>
      <c r="P14" s="141"/>
      <c r="Q14" s="141"/>
      <c r="R14" s="142">
        <f aca="true" t="shared" si="3" ref="R14:S38">(H14/C14)*100</f>
        <v>86.74730133957603</v>
      </c>
      <c r="S14" s="142"/>
      <c r="T14" s="142">
        <f t="shared" si="1"/>
        <v>86.74730133957603</v>
      </c>
      <c r="U14" s="142"/>
    </row>
    <row r="15" spans="1:21" ht="22.5" customHeight="1">
      <c r="A15" s="174">
        <v>2</v>
      </c>
      <c r="B15" s="175" t="s">
        <v>152</v>
      </c>
      <c r="C15" s="141">
        <f t="shared" si="2"/>
        <v>1569</v>
      </c>
      <c r="D15" s="141"/>
      <c r="E15" s="141">
        <f>1349+220</f>
        <v>1569</v>
      </c>
      <c r="F15" s="141"/>
      <c r="G15" s="141"/>
      <c r="H15" s="141">
        <f>SUM(I15:K15)+L15+O15</f>
        <v>2302</v>
      </c>
      <c r="I15" s="141"/>
      <c r="J15" s="141">
        <f>2302</f>
        <v>2302</v>
      </c>
      <c r="K15" s="141"/>
      <c r="L15" s="141"/>
      <c r="M15" s="141"/>
      <c r="N15" s="141"/>
      <c r="O15" s="141"/>
      <c r="P15" s="141"/>
      <c r="Q15" s="141"/>
      <c r="R15" s="142">
        <f t="shared" si="3"/>
        <v>146.71765455704272</v>
      </c>
      <c r="S15" s="142"/>
      <c r="T15" s="142">
        <f t="shared" si="1"/>
        <v>146.71765455704272</v>
      </c>
      <c r="U15" s="142"/>
    </row>
    <row r="16" spans="1:21" ht="22.5" customHeight="1">
      <c r="A16" s="174">
        <v>3</v>
      </c>
      <c r="B16" s="175" t="s">
        <v>153</v>
      </c>
      <c r="C16" s="141">
        <f t="shared" si="2"/>
        <v>1915</v>
      </c>
      <c r="D16" s="141">
        <v>617</v>
      </c>
      <c r="E16" s="141">
        <f>1217+81</f>
        <v>1298</v>
      </c>
      <c r="F16" s="141"/>
      <c r="G16" s="141"/>
      <c r="H16" s="141">
        <f aca="true" t="shared" si="4" ref="H16:H48">SUM(I16:K16)+L16+O16</f>
        <v>1193</v>
      </c>
      <c r="I16" s="141"/>
      <c r="J16" s="141">
        <v>1193</v>
      </c>
      <c r="K16" s="141"/>
      <c r="L16" s="141"/>
      <c r="M16" s="141"/>
      <c r="N16" s="141"/>
      <c r="O16" s="141"/>
      <c r="P16" s="141"/>
      <c r="Q16" s="141"/>
      <c r="R16" s="142">
        <f t="shared" si="3"/>
        <v>62.2976501305483</v>
      </c>
      <c r="S16" s="142">
        <f aca="true" t="shared" si="5" ref="S16:S24">(I16/D16)*100</f>
        <v>0</v>
      </c>
      <c r="T16" s="142">
        <f t="shared" si="1"/>
        <v>91.91063174114021</v>
      </c>
      <c r="U16" s="142"/>
    </row>
    <row r="17" spans="1:21" ht="35.25" customHeight="1">
      <c r="A17" s="174">
        <v>4</v>
      </c>
      <c r="B17" s="175" t="s">
        <v>277</v>
      </c>
      <c r="C17" s="141">
        <f t="shared" si="2"/>
        <v>64340</v>
      </c>
      <c r="D17" s="141"/>
      <c r="E17" s="141">
        <f>890+63450</f>
        <v>64340</v>
      </c>
      <c r="F17" s="141"/>
      <c r="G17" s="141"/>
      <c r="H17" s="141">
        <f t="shared" si="4"/>
        <v>109598</v>
      </c>
      <c r="I17" s="141"/>
      <c r="J17" s="141">
        <v>109598</v>
      </c>
      <c r="K17" s="141"/>
      <c r="L17" s="141"/>
      <c r="M17" s="141"/>
      <c r="N17" s="141"/>
      <c r="O17" s="141"/>
      <c r="P17" s="141"/>
      <c r="Q17" s="141"/>
      <c r="R17" s="142">
        <f t="shared" si="3"/>
        <v>170.34193347839602</v>
      </c>
      <c r="S17" s="142"/>
      <c r="T17" s="142">
        <f t="shared" si="1"/>
        <v>170.34193347839602</v>
      </c>
      <c r="U17" s="142"/>
    </row>
    <row r="18" spans="1:21" ht="22.5" customHeight="1">
      <c r="A18" s="174">
        <v>5</v>
      </c>
      <c r="B18" s="175" t="s">
        <v>278</v>
      </c>
      <c r="C18" s="141">
        <f t="shared" si="2"/>
        <v>22599</v>
      </c>
      <c r="D18" s="141">
        <f>9652+12200</f>
        <v>21852</v>
      </c>
      <c r="E18" s="141">
        <f>747+12200-12200</f>
        <v>747</v>
      </c>
      <c r="F18" s="141"/>
      <c r="G18" s="141"/>
      <c r="H18" s="141">
        <f t="shared" si="4"/>
        <v>34697</v>
      </c>
      <c r="I18" s="141">
        <v>31344</v>
      </c>
      <c r="J18" s="141">
        <v>3353</v>
      </c>
      <c r="K18" s="141"/>
      <c r="L18" s="141"/>
      <c r="M18" s="141"/>
      <c r="N18" s="141"/>
      <c r="O18" s="141"/>
      <c r="P18" s="141"/>
      <c r="Q18" s="141"/>
      <c r="R18" s="142">
        <f t="shared" si="3"/>
        <v>153.53334218328246</v>
      </c>
      <c r="S18" s="142">
        <f t="shared" si="5"/>
        <v>143.43767160900603</v>
      </c>
      <c r="T18" s="142">
        <f t="shared" si="1"/>
        <v>448.86211512717534</v>
      </c>
      <c r="U18" s="142"/>
    </row>
    <row r="19" spans="1:21" ht="21" customHeight="1">
      <c r="A19" s="174">
        <v>6</v>
      </c>
      <c r="B19" s="175" t="s">
        <v>154</v>
      </c>
      <c r="C19" s="141">
        <f t="shared" si="2"/>
        <v>3878</v>
      </c>
      <c r="D19" s="141">
        <v>2498</v>
      </c>
      <c r="E19" s="141">
        <f>880+500</f>
        <v>1380</v>
      </c>
      <c r="F19" s="141"/>
      <c r="G19" s="141"/>
      <c r="H19" s="141">
        <f t="shared" si="4"/>
        <v>2444</v>
      </c>
      <c r="I19" s="141">
        <v>922</v>
      </c>
      <c r="J19" s="141">
        <v>1522</v>
      </c>
      <c r="K19" s="141"/>
      <c r="L19" s="141"/>
      <c r="M19" s="141"/>
      <c r="N19" s="141"/>
      <c r="O19" s="141"/>
      <c r="P19" s="141"/>
      <c r="Q19" s="141"/>
      <c r="R19" s="142">
        <f t="shared" si="3"/>
        <v>63.0221763795771</v>
      </c>
      <c r="S19" s="142"/>
      <c r="T19" s="142">
        <f t="shared" si="1"/>
        <v>110.28985507246377</v>
      </c>
      <c r="U19" s="142"/>
    </row>
    <row r="20" spans="1:21" ht="22.5" customHeight="1">
      <c r="A20" s="174">
        <v>7</v>
      </c>
      <c r="B20" s="175" t="s">
        <v>155</v>
      </c>
      <c r="C20" s="141">
        <f t="shared" si="2"/>
        <v>659</v>
      </c>
      <c r="D20" s="141"/>
      <c r="E20" s="141">
        <v>659</v>
      </c>
      <c r="F20" s="141"/>
      <c r="G20" s="141"/>
      <c r="H20" s="141">
        <f t="shared" si="4"/>
        <v>526</v>
      </c>
      <c r="I20" s="141"/>
      <c r="J20" s="141">
        <v>526</v>
      </c>
      <c r="K20" s="141"/>
      <c r="L20" s="141"/>
      <c r="M20" s="141"/>
      <c r="N20" s="141"/>
      <c r="O20" s="141"/>
      <c r="P20" s="141"/>
      <c r="Q20" s="141"/>
      <c r="R20" s="142">
        <f t="shared" si="3"/>
        <v>79.81790591805766</v>
      </c>
      <c r="S20" s="142"/>
      <c r="T20" s="142">
        <f t="shared" si="1"/>
        <v>79.81790591805766</v>
      </c>
      <c r="U20" s="142"/>
    </row>
    <row r="21" spans="1:21" ht="22.5" customHeight="1">
      <c r="A21" s="174">
        <v>8</v>
      </c>
      <c r="B21" s="175" t="s">
        <v>156</v>
      </c>
      <c r="C21" s="141">
        <f t="shared" si="2"/>
        <v>1502</v>
      </c>
      <c r="D21" s="141"/>
      <c r="E21" s="141">
        <v>1502</v>
      </c>
      <c r="F21" s="141"/>
      <c r="G21" s="141"/>
      <c r="H21" s="141">
        <f t="shared" si="4"/>
        <v>1521</v>
      </c>
      <c r="I21" s="141"/>
      <c r="J21" s="141">
        <v>1521</v>
      </c>
      <c r="K21" s="141"/>
      <c r="L21" s="141"/>
      <c r="M21" s="141"/>
      <c r="N21" s="141"/>
      <c r="O21" s="141"/>
      <c r="P21" s="141"/>
      <c r="Q21" s="141"/>
      <c r="R21" s="142">
        <f t="shared" si="3"/>
        <v>101.26498002663115</v>
      </c>
      <c r="S21" s="142"/>
      <c r="T21" s="142">
        <f t="shared" si="1"/>
        <v>101.26498002663115</v>
      </c>
      <c r="U21" s="142"/>
    </row>
    <row r="22" spans="1:21" ht="22.5" customHeight="1">
      <c r="A22" s="174">
        <v>9</v>
      </c>
      <c r="B22" s="175" t="s">
        <v>279</v>
      </c>
      <c r="C22" s="141">
        <f t="shared" si="2"/>
        <v>335995</v>
      </c>
      <c r="D22" s="141">
        <v>6113</v>
      </c>
      <c r="E22" s="141">
        <f>506+329376</f>
        <v>329882</v>
      </c>
      <c r="F22" s="141"/>
      <c r="G22" s="141"/>
      <c r="H22" s="141">
        <f t="shared" si="4"/>
        <v>312497</v>
      </c>
      <c r="I22" s="141">
        <f>6544</f>
        <v>6544</v>
      </c>
      <c r="J22" s="141">
        <f>312497-6544</f>
        <v>305953</v>
      </c>
      <c r="K22" s="141"/>
      <c r="L22" s="141"/>
      <c r="M22" s="141"/>
      <c r="N22" s="141"/>
      <c r="O22" s="141"/>
      <c r="P22" s="141"/>
      <c r="Q22" s="141"/>
      <c r="R22" s="142">
        <f t="shared" si="3"/>
        <v>93.00644354826709</v>
      </c>
      <c r="S22" s="142">
        <f t="shared" si="5"/>
        <v>107.05054801243253</v>
      </c>
      <c r="T22" s="142">
        <f t="shared" si="1"/>
        <v>92.74619409364561</v>
      </c>
      <c r="U22" s="142"/>
    </row>
    <row r="23" spans="1:21" ht="22.5" customHeight="1">
      <c r="A23" s="174">
        <v>10</v>
      </c>
      <c r="B23" s="175" t="s">
        <v>157</v>
      </c>
      <c r="C23" s="141">
        <f t="shared" si="2"/>
        <v>637</v>
      </c>
      <c r="D23" s="262"/>
      <c r="E23" s="141">
        <v>637</v>
      </c>
      <c r="F23" s="141"/>
      <c r="G23" s="141"/>
      <c r="H23" s="141">
        <f t="shared" si="4"/>
        <v>34364</v>
      </c>
      <c r="I23" s="141"/>
      <c r="J23" s="141">
        <v>34364</v>
      </c>
      <c r="K23" s="141"/>
      <c r="L23" s="141"/>
      <c r="M23" s="141"/>
      <c r="N23" s="141"/>
      <c r="O23" s="141"/>
      <c r="P23" s="141"/>
      <c r="Q23" s="141"/>
      <c r="R23" s="142">
        <f t="shared" si="3"/>
        <v>5394.662480376766</v>
      </c>
      <c r="S23" s="142"/>
      <c r="T23" s="142">
        <f t="shared" si="1"/>
        <v>5394.662480376766</v>
      </c>
      <c r="U23" s="142"/>
    </row>
    <row r="24" spans="1:21" ht="22.5" customHeight="1">
      <c r="A24" s="174">
        <v>11</v>
      </c>
      <c r="B24" s="175" t="s">
        <v>158</v>
      </c>
      <c r="C24" s="141">
        <f t="shared" si="2"/>
        <v>2002</v>
      </c>
      <c r="D24" s="141"/>
      <c r="E24" s="141">
        <v>2002</v>
      </c>
      <c r="F24" s="141"/>
      <c r="G24" s="141"/>
      <c r="H24" s="141">
        <f t="shared" si="4"/>
        <v>2667</v>
      </c>
      <c r="I24" s="141"/>
      <c r="J24" s="141">
        <v>2667</v>
      </c>
      <c r="K24" s="141"/>
      <c r="L24" s="141"/>
      <c r="M24" s="141"/>
      <c r="N24" s="141"/>
      <c r="O24" s="141"/>
      <c r="P24" s="141"/>
      <c r="Q24" s="141"/>
      <c r="R24" s="142">
        <f t="shared" si="3"/>
        <v>133.2167832167832</v>
      </c>
      <c r="S24" s="142" t="e">
        <f t="shared" si="5"/>
        <v>#DIV/0!</v>
      </c>
      <c r="T24" s="142">
        <f t="shared" si="1"/>
        <v>133.2167832167832</v>
      </c>
      <c r="U24" s="142"/>
    </row>
    <row r="25" spans="1:21" ht="22.5" customHeight="1">
      <c r="A25" s="174">
        <v>12</v>
      </c>
      <c r="B25" s="175" t="s">
        <v>280</v>
      </c>
      <c r="C25" s="141">
        <f t="shared" si="2"/>
        <v>2663</v>
      </c>
      <c r="D25" s="141">
        <v>1800</v>
      </c>
      <c r="E25" s="141">
        <v>863</v>
      </c>
      <c r="F25" s="141"/>
      <c r="G25" s="141"/>
      <c r="H25" s="141">
        <f t="shared" si="4"/>
        <v>865</v>
      </c>
      <c r="I25" s="141"/>
      <c r="J25" s="141">
        <v>865</v>
      </c>
      <c r="K25" s="141"/>
      <c r="L25" s="141"/>
      <c r="M25" s="141"/>
      <c r="N25" s="141"/>
      <c r="O25" s="141"/>
      <c r="P25" s="141"/>
      <c r="Q25" s="141"/>
      <c r="R25" s="142">
        <f t="shared" si="3"/>
        <v>32.48216297408938</v>
      </c>
      <c r="S25" s="142"/>
      <c r="T25" s="142">
        <f t="shared" si="1"/>
        <v>100.23174971031285</v>
      </c>
      <c r="U25" s="142"/>
    </row>
    <row r="26" spans="1:21" ht="22.5" customHeight="1">
      <c r="A26" s="174">
        <v>13</v>
      </c>
      <c r="B26" s="175" t="s">
        <v>281</v>
      </c>
      <c r="C26" s="141">
        <f t="shared" si="2"/>
        <v>7977</v>
      </c>
      <c r="D26" s="141"/>
      <c r="E26" s="141">
        <v>7977</v>
      </c>
      <c r="F26" s="141"/>
      <c r="G26" s="141"/>
      <c r="H26" s="141">
        <f t="shared" si="4"/>
        <v>8150</v>
      </c>
      <c r="I26" s="141">
        <v>96</v>
      </c>
      <c r="J26" s="141">
        <v>8054</v>
      </c>
      <c r="K26" s="141"/>
      <c r="L26" s="141"/>
      <c r="M26" s="141"/>
      <c r="N26" s="141"/>
      <c r="O26" s="141"/>
      <c r="P26" s="141"/>
      <c r="Q26" s="141"/>
      <c r="R26" s="142">
        <f t="shared" si="3"/>
        <v>102.16873511345116</v>
      </c>
      <c r="S26" s="142"/>
      <c r="T26" s="142">
        <f t="shared" si="1"/>
        <v>100.96527516610254</v>
      </c>
      <c r="U26" s="142"/>
    </row>
    <row r="27" spans="1:21" ht="22.5" customHeight="1">
      <c r="A27" s="174"/>
      <c r="B27" s="175" t="s">
        <v>335</v>
      </c>
      <c r="C27" s="141">
        <f t="shared" si="2"/>
        <v>1147</v>
      </c>
      <c r="D27" s="141"/>
      <c r="E27" s="141">
        <f>497+650</f>
        <v>1147</v>
      </c>
      <c r="F27" s="141"/>
      <c r="G27" s="141"/>
      <c r="H27" s="141">
        <f t="shared" si="4"/>
        <v>791</v>
      </c>
      <c r="I27" s="141"/>
      <c r="J27" s="141">
        <v>791</v>
      </c>
      <c r="K27" s="141"/>
      <c r="L27" s="141"/>
      <c r="M27" s="141"/>
      <c r="N27" s="141"/>
      <c r="O27" s="141"/>
      <c r="P27" s="141"/>
      <c r="Q27" s="141"/>
      <c r="R27" s="142">
        <f>(H27/C27)*100</f>
        <v>68.96251089799476</v>
      </c>
      <c r="S27" s="142"/>
      <c r="T27" s="142">
        <f>(J27/E27)*100</f>
        <v>68.96251089799476</v>
      </c>
      <c r="U27" s="142"/>
    </row>
    <row r="28" spans="1:21" ht="22.5" customHeight="1">
      <c r="A28" s="174">
        <v>14</v>
      </c>
      <c r="B28" s="175" t="s">
        <v>336</v>
      </c>
      <c r="C28" s="141">
        <f t="shared" si="2"/>
        <v>1405</v>
      </c>
      <c r="D28" s="141"/>
      <c r="E28" s="141">
        <v>1405</v>
      </c>
      <c r="F28" s="141"/>
      <c r="G28" s="141"/>
      <c r="H28" s="141">
        <f t="shared" si="4"/>
        <v>1287</v>
      </c>
      <c r="I28" s="141"/>
      <c r="J28" s="141">
        <v>1287</v>
      </c>
      <c r="K28" s="141"/>
      <c r="L28" s="141"/>
      <c r="M28" s="141"/>
      <c r="N28" s="141"/>
      <c r="O28" s="141"/>
      <c r="P28" s="141"/>
      <c r="Q28" s="141"/>
      <c r="R28" s="142">
        <f t="shared" si="3"/>
        <v>91.60142348754448</v>
      </c>
      <c r="S28" s="142"/>
      <c r="T28" s="142">
        <f t="shared" si="1"/>
        <v>91.60142348754448</v>
      </c>
      <c r="U28" s="142"/>
    </row>
    <row r="29" spans="1:21" ht="22.5" customHeight="1">
      <c r="A29" s="174">
        <v>15</v>
      </c>
      <c r="B29" s="175" t="s">
        <v>282</v>
      </c>
      <c r="C29" s="141">
        <f t="shared" si="2"/>
        <v>1148</v>
      </c>
      <c r="D29" s="141"/>
      <c r="E29" s="141">
        <v>1148</v>
      </c>
      <c r="F29" s="141"/>
      <c r="G29" s="141"/>
      <c r="H29" s="141">
        <f t="shared" si="4"/>
        <v>1248</v>
      </c>
      <c r="I29" s="141"/>
      <c r="J29" s="141">
        <f>1248</f>
        <v>1248</v>
      </c>
      <c r="K29" s="141"/>
      <c r="L29" s="141"/>
      <c r="M29" s="141"/>
      <c r="N29" s="141"/>
      <c r="O29" s="141"/>
      <c r="P29" s="141"/>
      <c r="Q29" s="141"/>
      <c r="R29" s="142">
        <f t="shared" si="3"/>
        <v>108.71080139372822</v>
      </c>
      <c r="S29" s="142"/>
      <c r="T29" s="142">
        <f t="shared" si="1"/>
        <v>108.71080139372822</v>
      </c>
      <c r="U29" s="142"/>
    </row>
    <row r="30" spans="1:21" ht="22.5" customHeight="1">
      <c r="A30" s="174">
        <v>16</v>
      </c>
      <c r="B30" s="175" t="s">
        <v>159</v>
      </c>
      <c r="C30" s="141">
        <f t="shared" si="2"/>
        <v>1060</v>
      </c>
      <c r="D30" s="141"/>
      <c r="E30" s="141">
        <f>860+200</f>
        <v>1060</v>
      </c>
      <c r="F30" s="141"/>
      <c r="G30" s="141"/>
      <c r="H30" s="141">
        <f t="shared" si="4"/>
        <v>859</v>
      </c>
      <c r="I30" s="141"/>
      <c r="J30" s="141">
        <v>859</v>
      </c>
      <c r="K30" s="141"/>
      <c r="L30" s="141"/>
      <c r="M30" s="141"/>
      <c r="N30" s="141"/>
      <c r="O30" s="141"/>
      <c r="P30" s="141"/>
      <c r="Q30" s="141"/>
      <c r="R30" s="142">
        <f t="shared" si="3"/>
        <v>81.0377358490566</v>
      </c>
      <c r="S30" s="142"/>
      <c r="T30" s="142">
        <f t="shared" si="1"/>
        <v>81.0377358490566</v>
      </c>
      <c r="U30" s="142"/>
    </row>
    <row r="31" spans="1:21" ht="22.5" customHeight="1">
      <c r="A31" s="174">
        <v>17</v>
      </c>
      <c r="B31" s="175" t="s">
        <v>283</v>
      </c>
      <c r="C31" s="141">
        <f t="shared" si="2"/>
        <v>1933</v>
      </c>
      <c r="D31" s="141"/>
      <c r="E31" s="141">
        <f>1933</f>
        <v>1933</v>
      </c>
      <c r="F31" s="141"/>
      <c r="G31" s="141"/>
      <c r="H31" s="141">
        <f t="shared" si="4"/>
        <v>2057</v>
      </c>
      <c r="I31" s="141">
        <v>81</v>
      </c>
      <c r="J31" s="141">
        <v>1976</v>
      </c>
      <c r="K31" s="141"/>
      <c r="L31" s="141"/>
      <c r="M31" s="141"/>
      <c r="N31" s="141"/>
      <c r="O31" s="141"/>
      <c r="P31" s="141"/>
      <c r="Q31" s="141"/>
      <c r="R31" s="142">
        <f t="shared" si="3"/>
        <v>106.41489912053802</v>
      </c>
      <c r="S31" s="142"/>
      <c r="T31" s="142">
        <f t="shared" si="1"/>
        <v>102.22452146921883</v>
      </c>
      <c r="U31" s="142"/>
    </row>
    <row r="32" spans="1:21" ht="22.5" customHeight="1">
      <c r="A32" s="174">
        <v>18</v>
      </c>
      <c r="B32" s="175" t="s">
        <v>160</v>
      </c>
      <c r="C32" s="141">
        <f t="shared" si="2"/>
        <v>644</v>
      </c>
      <c r="D32" s="141"/>
      <c r="E32" s="141">
        <v>644</v>
      </c>
      <c r="F32" s="141"/>
      <c r="G32" s="141"/>
      <c r="H32" s="141">
        <f t="shared" si="4"/>
        <v>481</v>
      </c>
      <c r="I32" s="141"/>
      <c r="J32" s="141">
        <v>481</v>
      </c>
      <c r="K32" s="141"/>
      <c r="L32" s="141"/>
      <c r="M32" s="141"/>
      <c r="N32" s="141"/>
      <c r="O32" s="141"/>
      <c r="P32" s="141"/>
      <c r="Q32" s="141"/>
      <c r="R32" s="142">
        <f t="shared" si="3"/>
        <v>74.68944099378882</v>
      </c>
      <c r="S32" s="142"/>
      <c r="T32" s="142">
        <f t="shared" si="1"/>
        <v>74.68944099378882</v>
      </c>
      <c r="U32" s="142"/>
    </row>
    <row r="33" spans="1:21" ht="22.5" customHeight="1">
      <c r="A33" s="174">
        <v>19</v>
      </c>
      <c r="B33" s="175" t="s">
        <v>252</v>
      </c>
      <c r="C33" s="141">
        <f t="shared" si="2"/>
        <v>0</v>
      </c>
      <c r="D33" s="141"/>
      <c r="E33" s="141"/>
      <c r="F33" s="141"/>
      <c r="G33" s="141"/>
      <c r="H33" s="141">
        <f t="shared" si="4"/>
        <v>0</v>
      </c>
      <c r="I33" s="141"/>
      <c r="J33" s="141"/>
      <c r="K33" s="141"/>
      <c r="L33" s="141"/>
      <c r="M33" s="141"/>
      <c r="N33" s="141"/>
      <c r="O33" s="141"/>
      <c r="P33" s="141"/>
      <c r="Q33" s="141"/>
      <c r="R33" s="142" t="e">
        <f t="shared" si="3"/>
        <v>#DIV/0!</v>
      </c>
      <c r="S33" s="142"/>
      <c r="T33" s="142" t="e">
        <f t="shared" si="1"/>
        <v>#DIV/0!</v>
      </c>
      <c r="U33" s="142"/>
    </row>
    <row r="34" spans="1:21" ht="22.5" customHeight="1">
      <c r="A34" s="174">
        <v>20</v>
      </c>
      <c r="B34" s="175" t="s">
        <v>284</v>
      </c>
      <c r="C34" s="141">
        <f t="shared" si="2"/>
        <v>4352</v>
      </c>
      <c r="D34" s="141"/>
      <c r="E34" s="141">
        <v>4352</v>
      </c>
      <c r="F34" s="141"/>
      <c r="G34" s="141"/>
      <c r="H34" s="141">
        <f t="shared" si="4"/>
        <v>3989</v>
      </c>
      <c r="I34" s="141"/>
      <c r="J34" s="141">
        <v>3989</v>
      </c>
      <c r="K34" s="141"/>
      <c r="L34" s="141"/>
      <c r="M34" s="141"/>
      <c r="N34" s="141"/>
      <c r="O34" s="141"/>
      <c r="P34" s="141"/>
      <c r="Q34" s="141"/>
      <c r="R34" s="142">
        <f t="shared" si="3"/>
        <v>91.65900735294117</v>
      </c>
      <c r="S34" s="142"/>
      <c r="T34" s="142">
        <f t="shared" si="1"/>
        <v>91.65900735294117</v>
      </c>
      <c r="U34" s="142"/>
    </row>
    <row r="35" spans="1:21" ht="33" customHeight="1">
      <c r="A35" s="174">
        <v>21</v>
      </c>
      <c r="B35" s="175" t="s">
        <v>285</v>
      </c>
      <c r="C35" s="141">
        <f t="shared" si="2"/>
        <v>5583</v>
      </c>
      <c r="D35" s="141">
        <v>350</v>
      </c>
      <c r="E35" s="141">
        <f>5233</f>
        <v>5233</v>
      </c>
      <c r="F35" s="141"/>
      <c r="G35" s="141"/>
      <c r="H35" s="141">
        <f t="shared" si="4"/>
        <v>4430</v>
      </c>
      <c r="I35" s="141">
        <v>166</v>
      </c>
      <c r="J35" s="141">
        <v>4264</v>
      </c>
      <c r="K35" s="141"/>
      <c r="L35" s="141"/>
      <c r="M35" s="141"/>
      <c r="N35" s="141"/>
      <c r="O35" s="141"/>
      <c r="P35" s="141"/>
      <c r="Q35" s="141"/>
      <c r="R35" s="142">
        <f t="shared" si="3"/>
        <v>79.34802077735984</v>
      </c>
      <c r="S35" s="142">
        <f t="shared" si="3"/>
        <v>47.42857142857143</v>
      </c>
      <c r="T35" s="142">
        <f t="shared" si="1"/>
        <v>81.4828969998089</v>
      </c>
      <c r="U35" s="142"/>
    </row>
    <row r="36" spans="1:21" ht="26.25" customHeight="1">
      <c r="A36" s="174">
        <v>22</v>
      </c>
      <c r="B36" s="175" t="s">
        <v>286</v>
      </c>
      <c r="C36" s="141">
        <f t="shared" si="2"/>
        <v>1230</v>
      </c>
      <c r="D36" s="141"/>
      <c r="E36" s="141">
        <v>1230</v>
      </c>
      <c r="F36" s="141"/>
      <c r="G36" s="141"/>
      <c r="H36" s="141">
        <f t="shared" si="4"/>
        <v>1370</v>
      </c>
      <c r="I36" s="141"/>
      <c r="J36" s="141">
        <v>1370</v>
      </c>
      <c r="K36" s="141"/>
      <c r="L36" s="141"/>
      <c r="M36" s="141"/>
      <c r="N36" s="141"/>
      <c r="O36" s="141"/>
      <c r="P36" s="141"/>
      <c r="Q36" s="141"/>
      <c r="R36" s="142">
        <f t="shared" si="3"/>
        <v>111.3821138211382</v>
      </c>
      <c r="S36" s="142"/>
      <c r="T36" s="142">
        <f t="shared" si="1"/>
        <v>111.3821138211382</v>
      </c>
      <c r="U36" s="142"/>
    </row>
    <row r="37" spans="1:21" ht="22.5" customHeight="1">
      <c r="A37" s="174">
        <v>23</v>
      </c>
      <c r="B37" s="175" t="s">
        <v>163</v>
      </c>
      <c r="C37" s="141">
        <f t="shared" si="2"/>
        <v>110</v>
      </c>
      <c r="D37" s="141"/>
      <c r="E37" s="141">
        <v>110</v>
      </c>
      <c r="F37" s="141"/>
      <c r="G37" s="141"/>
      <c r="H37" s="141">
        <f t="shared" si="4"/>
        <v>55</v>
      </c>
      <c r="I37" s="141"/>
      <c r="J37" s="141">
        <v>55</v>
      </c>
      <c r="K37" s="141"/>
      <c r="L37" s="141"/>
      <c r="M37" s="141"/>
      <c r="N37" s="141"/>
      <c r="O37" s="141"/>
      <c r="P37" s="141"/>
      <c r="Q37" s="141"/>
      <c r="R37" s="142">
        <f t="shared" si="3"/>
        <v>50</v>
      </c>
      <c r="S37" s="142"/>
      <c r="T37" s="142">
        <f t="shared" si="1"/>
        <v>50</v>
      </c>
      <c r="U37" s="142"/>
    </row>
    <row r="38" spans="1:21" ht="22.5" customHeight="1">
      <c r="A38" s="174">
        <v>24</v>
      </c>
      <c r="B38" s="175" t="s">
        <v>162</v>
      </c>
      <c r="C38" s="141">
        <f t="shared" si="2"/>
        <v>7586</v>
      </c>
      <c r="D38" s="141"/>
      <c r="E38" s="141">
        <v>7586</v>
      </c>
      <c r="F38" s="141"/>
      <c r="G38" s="141"/>
      <c r="H38" s="141">
        <f t="shared" si="4"/>
        <v>5708</v>
      </c>
      <c r="I38" s="141"/>
      <c r="J38" s="141">
        <v>5708</v>
      </c>
      <c r="K38" s="141"/>
      <c r="L38" s="141"/>
      <c r="M38" s="141"/>
      <c r="N38" s="141"/>
      <c r="O38" s="141"/>
      <c r="P38" s="141"/>
      <c r="Q38" s="141"/>
      <c r="R38" s="142">
        <f t="shared" si="3"/>
        <v>75.24387028737148</v>
      </c>
      <c r="S38" s="142"/>
      <c r="T38" s="142">
        <f t="shared" si="1"/>
        <v>75.24387028737148</v>
      </c>
      <c r="U38" s="142"/>
    </row>
    <row r="39" spans="1:21" ht="24.75" customHeight="1">
      <c r="A39" s="174">
        <v>25</v>
      </c>
      <c r="B39" s="175" t="s">
        <v>287</v>
      </c>
      <c r="C39" s="143">
        <f t="shared" si="2"/>
        <v>0</v>
      </c>
      <c r="D39" s="141"/>
      <c r="E39" s="141"/>
      <c r="F39" s="141"/>
      <c r="G39" s="141"/>
      <c r="H39" s="141">
        <f t="shared" si="4"/>
        <v>0</v>
      </c>
      <c r="I39" s="141"/>
      <c r="J39" s="141"/>
      <c r="K39" s="141"/>
      <c r="L39" s="141"/>
      <c r="M39" s="141"/>
      <c r="N39" s="141"/>
      <c r="O39" s="141"/>
      <c r="P39" s="141"/>
      <c r="Q39" s="141"/>
      <c r="R39" s="142" t="e">
        <f aca="true" t="shared" si="6" ref="R39:S42">(H39/C39)*100</f>
        <v>#DIV/0!</v>
      </c>
      <c r="S39" s="142" t="e">
        <f t="shared" si="6"/>
        <v>#DIV/0!</v>
      </c>
      <c r="T39" s="142" t="e">
        <f>(J39/E39)*100</f>
        <v>#DIV/0!</v>
      </c>
      <c r="U39" s="142"/>
    </row>
    <row r="40" spans="1:21" ht="24.75" customHeight="1">
      <c r="A40" s="174">
        <v>26</v>
      </c>
      <c r="B40" s="175" t="s">
        <v>289</v>
      </c>
      <c r="C40" s="143">
        <f t="shared" si="2"/>
        <v>528</v>
      </c>
      <c r="D40" s="141"/>
      <c r="E40" s="141">
        <v>528</v>
      </c>
      <c r="F40" s="141"/>
      <c r="G40" s="141"/>
      <c r="H40" s="141">
        <f t="shared" si="4"/>
        <v>458</v>
      </c>
      <c r="I40" s="141"/>
      <c r="J40" s="141">
        <v>458</v>
      </c>
      <c r="K40" s="141"/>
      <c r="L40" s="141"/>
      <c r="M40" s="141"/>
      <c r="N40" s="141"/>
      <c r="O40" s="141"/>
      <c r="P40" s="141"/>
      <c r="Q40" s="141"/>
      <c r="R40" s="142">
        <f t="shared" si="6"/>
        <v>86.74242424242425</v>
      </c>
      <c r="S40" s="142"/>
      <c r="T40" s="142">
        <f>(J40/E40)*100</f>
        <v>86.74242424242425</v>
      </c>
      <c r="U40" s="142"/>
    </row>
    <row r="41" spans="1:21" ht="24.75" customHeight="1">
      <c r="A41" s="174">
        <v>27</v>
      </c>
      <c r="B41" s="175" t="s">
        <v>290</v>
      </c>
      <c r="C41" s="143">
        <f t="shared" si="2"/>
        <v>228</v>
      </c>
      <c r="D41" s="141"/>
      <c r="E41" s="141">
        <v>228</v>
      </c>
      <c r="F41" s="141"/>
      <c r="G41" s="141"/>
      <c r="H41" s="141">
        <f t="shared" si="4"/>
        <v>228</v>
      </c>
      <c r="I41" s="141"/>
      <c r="J41" s="141">
        <v>228</v>
      </c>
      <c r="K41" s="141"/>
      <c r="L41" s="141"/>
      <c r="M41" s="141"/>
      <c r="N41" s="141"/>
      <c r="O41" s="141"/>
      <c r="P41" s="141"/>
      <c r="Q41" s="141"/>
      <c r="R41" s="142">
        <f t="shared" si="6"/>
        <v>100</v>
      </c>
      <c r="S41" s="142"/>
      <c r="T41" s="142">
        <f>(J41/E41)*100</f>
        <v>100</v>
      </c>
      <c r="U41" s="142"/>
    </row>
    <row r="42" spans="1:21" ht="24.75" customHeight="1">
      <c r="A42" s="174">
        <v>28</v>
      </c>
      <c r="B42" s="175" t="s">
        <v>291</v>
      </c>
      <c r="C42" s="143">
        <f t="shared" si="2"/>
        <v>124</v>
      </c>
      <c r="D42" s="141"/>
      <c r="E42" s="141">
        <v>124</v>
      </c>
      <c r="F42" s="141"/>
      <c r="G42" s="141"/>
      <c r="H42" s="141">
        <f t="shared" si="4"/>
        <v>124</v>
      </c>
      <c r="I42" s="141"/>
      <c r="J42" s="141">
        <v>124</v>
      </c>
      <c r="K42" s="141"/>
      <c r="L42" s="141"/>
      <c r="M42" s="141"/>
      <c r="N42" s="141"/>
      <c r="O42" s="141"/>
      <c r="P42" s="141"/>
      <c r="Q42" s="141"/>
      <c r="R42" s="142">
        <f t="shared" si="6"/>
        <v>100</v>
      </c>
      <c r="S42" s="142"/>
      <c r="T42" s="142">
        <f>(J42/E42)*100</f>
        <v>100</v>
      </c>
      <c r="U42" s="142"/>
    </row>
    <row r="43" spans="1:21" ht="33" customHeight="1">
      <c r="A43" s="174">
        <v>29</v>
      </c>
      <c r="B43" s="175" t="s">
        <v>292</v>
      </c>
      <c r="C43" s="143">
        <f t="shared" si="2"/>
        <v>101</v>
      </c>
      <c r="D43" s="141"/>
      <c r="E43" s="141">
        <v>101</v>
      </c>
      <c r="F43" s="141"/>
      <c r="G43" s="141"/>
      <c r="H43" s="141">
        <f t="shared" si="4"/>
        <v>101</v>
      </c>
      <c r="I43" s="141"/>
      <c r="J43" s="141">
        <v>101</v>
      </c>
      <c r="K43" s="141"/>
      <c r="L43" s="141"/>
      <c r="M43" s="141"/>
      <c r="N43" s="141"/>
      <c r="O43" s="141"/>
      <c r="P43" s="141"/>
      <c r="Q43" s="141"/>
      <c r="R43" s="142">
        <f aca="true" t="shared" si="7" ref="R43:R49">(H43/C43)*100</f>
        <v>100</v>
      </c>
      <c r="S43" s="142"/>
      <c r="T43" s="142">
        <f aca="true" t="shared" si="8" ref="T43:T49">(J43/E43)*100</f>
        <v>100</v>
      </c>
      <c r="U43" s="142"/>
    </row>
    <row r="44" spans="1:21" ht="35.25" customHeight="1">
      <c r="A44" s="174">
        <v>30</v>
      </c>
      <c r="B44" s="175" t="s">
        <v>337</v>
      </c>
      <c r="C44" s="143">
        <f t="shared" si="2"/>
        <v>310612</v>
      </c>
      <c r="D44" s="143">
        <v>310612</v>
      </c>
      <c r="E44" s="141"/>
      <c r="F44" s="141"/>
      <c r="G44" s="141"/>
      <c r="H44" s="141">
        <f t="shared" si="4"/>
        <v>345413</v>
      </c>
      <c r="I44" s="141">
        <v>345413</v>
      </c>
      <c r="J44" s="141"/>
      <c r="K44" s="141"/>
      <c r="L44" s="141"/>
      <c r="M44" s="141"/>
      <c r="N44" s="141"/>
      <c r="O44" s="141"/>
      <c r="P44" s="141"/>
      <c r="Q44" s="141"/>
      <c r="R44" s="142">
        <f t="shared" si="7"/>
        <v>111.2040101477084</v>
      </c>
      <c r="S44" s="142">
        <f>((I44+M44)/D44)*100</f>
        <v>111.2040101477084</v>
      </c>
      <c r="T44" s="142"/>
      <c r="U44" s="142"/>
    </row>
    <row r="45" spans="1:21" ht="35.25" customHeight="1">
      <c r="A45" s="174">
        <v>31</v>
      </c>
      <c r="B45" s="175" t="s">
        <v>293</v>
      </c>
      <c r="C45" s="143">
        <f>SUM(D45:G45)</f>
        <v>7507</v>
      </c>
      <c r="D45" s="141"/>
      <c r="E45" s="141">
        <v>7507</v>
      </c>
      <c r="F45" s="141"/>
      <c r="G45" s="141"/>
      <c r="H45" s="141">
        <f t="shared" si="4"/>
        <v>9002</v>
      </c>
      <c r="I45" s="141"/>
      <c r="J45" s="141">
        <v>9002</v>
      </c>
      <c r="K45" s="141"/>
      <c r="L45" s="141"/>
      <c r="M45" s="141"/>
      <c r="N45" s="141"/>
      <c r="O45" s="141"/>
      <c r="P45" s="141"/>
      <c r="Q45" s="141"/>
      <c r="R45" s="142">
        <f t="shared" si="7"/>
        <v>119.91474623684562</v>
      </c>
      <c r="S45" s="142"/>
      <c r="T45" s="142">
        <f t="shared" si="8"/>
        <v>119.91474623684562</v>
      </c>
      <c r="U45" s="142"/>
    </row>
    <row r="46" spans="1:21" ht="28.5" customHeight="1">
      <c r="A46" s="174">
        <v>32</v>
      </c>
      <c r="B46" s="175" t="s">
        <v>294</v>
      </c>
      <c r="C46" s="143">
        <f>SUM(D46:G46)</f>
        <v>100</v>
      </c>
      <c r="D46" s="141"/>
      <c r="E46" s="141">
        <v>100</v>
      </c>
      <c r="F46" s="141"/>
      <c r="G46" s="141"/>
      <c r="H46" s="141">
        <f t="shared" si="4"/>
        <v>100</v>
      </c>
      <c r="I46" s="141"/>
      <c r="J46" s="141">
        <v>100</v>
      </c>
      <c r="K46" s="141"/>
      <c r="L46" s="141"/>
      <c r="M46" s="141"/>
      <c r="N46" s="141"/>
      <c r="O46" s="141"/>
      <c r="P46" s="141"/>
      <c r="Q46" s="141"/>
      <c r="R46" s="142">
        <f t="shared" si="7"/>
        <v>100</v>
      </c>
      <c r="S46" s="142"/>
      <c r="T46" s="142">
        <f t="shared" si="8"/>
        <v>100</v>
      </c>
      <c r="U46" s="142"/>
    </row>
    <row r="47" spans="1:21" ht="28.5" customHeight="1">
      <c r="A47" s="174">
        <v>33</v>
      </c>
      <c r="B47" s="175" t="s">
        <v>295</v>
      </c>
      <c r="C47" s="143">
        <f>SUM(D47:G47)</f>
        <v>95</v>
      </c>
      <c r="D47" s="141"/>
      <c r="E47" s="141">
        <v>95</v>
      </c>
      <c r="F47" s="141"/>
      <c r="G47" s="141"/>
      <c r="H47" s="141">
        <f t="shared" si="4"/>
        <v>95</v>
      </c>
      <c r="I47" s="141"/>
      <c r="J47" s="141">
        <v>95</v>
      </c>
      <c r="K47" s="141"/>
      <c r="L47" s="141"/>
      <c r="M47" s="141"/>
      <c r="N47" s="141"/>
      <c r="O47" s="141"/>
      <c r="P47" s="141"/>
      <c r="Q47" s="141"/>
      <c r="R47" s="142">
        <f t="shared" si="7"/>
        <v>100</v>
      </c>
      <c r="S47" s="142"/>
      <c r="T47" s="142">
        <f t="shared" si="8"/>
        <v>100</v>
      </c>
      <c r="U47" s="142"/>
    </row>
    <row r="48" spans="1:21" ht="24.75" customHeight="1">
      <c r="A48" s="174">
        <v>34</v>
      </c>
      <c r="B48" s="175" t="s">
        <v>296</v>
      </c>
      <c r="C48" s="143">
        <f>SUM(D48:G48)</f>
        <v>125</v>
      </c>
      <c r="D48" s="141"/>
      <c r="E48" s="141">
        <v>125</v>
      </c>
      <c r="F48" s="141"/>
      <c r="G48" s="141"/>
      <c r="H48" s="141">
        <f t="shared" si="4"/>
        <v>125</v>
      </c>
      <c r="I48" s="141"/>
      <c r="J48" s="141">
        <v>125</v>
      </c>
      <c r="K48" s="141"/>
      <c r="L48" s="141"/>
      <c r="M48" s="141"/>
      <c r="N48" s="141"/>
      <c r="O48" s="141"/>
      <c r="P48" s="141"/>
      <c r="Q48" s="141"/>
      <c r="R48" s="142">
        <f t="shared" si="7"/>
        <v>100</v>
      </c>
      <c r="S48" s="142"/>
      <c r="T48" s="142">
        <f t="shared" si="8"/>
        <v>100</v>
      </c>
      <c r="U48" s="142"/>
    </row>
    <row r="49" spans="1:21" ht="39" customHeight="1">
      <c r="A49" s="174">
        <v>39</v>
      </c>
      <c r="B49" s="175" t="s">
        <v>288</v>
      </c>
      <c r="C49" s="141">
        <f>SUM(D49:G49)</f>
        <v>1500</v>
      </c>
      <c r="D49" s="141"/>
      <c r="E49" s="141">
        <v>1500</v>
      </c>
      <c r="F49" s="141"/>
      <c r="G49" s="141"/>
      <c r="H49" s="141">
        <f>SUM(I49:L49)+O49+P49+Q49</f>
        <v>1500</v>
      </c>
      <c r="I49" s="141"/>
      <c r="J49" s="141">
        <v>1500</v>
      </c>
      <c r="K49" s="141"/>
      <c r="L49" s="141"/>
      <c r="M49" s="141"/>
      <c r="N49" s="141"/>
      <c r="O49" s="141"/>
      <c r="P49" s="141"/>
      <c r="Q49" s="141"/>
      <c r="R49" s="142">
        <f t="shared" si="7"/>
        <v>100</v>
      </c>
      <c r="S49" s="142"/>
      <c r="T49" s="142">
        <f t="shared" si="8"/>
        <v>100</v>
      </c>
      <c r="U49" s="142"/>
    </row>
    <row r="50" spans="1:21" s="159" customFormat="1" ht="24.75" customHeight="1">
      <c r="A50" s="156" t="s">
        <v>25</v>
      </c>
      <c r="B50" s="157" t="s">
        <v>164</v>
      </c>
      <c r="C50" s="149">
        <f>SUM(D50:F50)</f>
        <v>13382</v>
      </c>
      <c r="D50" s="149"/>
      <c r="E50" s="149">
        <v>13382</v>
      </c>
      <c r="F50" s="149"/>
      <c r="G50" s="149"/>
      <c r="H50" s="149">
        <f>SUM(I50:L50)+O50</f>
        <v>11881</v>
      </c>
      <c r="I50" s="149"/>
      <c r="J50" s="149">
        <v>11881</v>
      </c>
      <c r="K50" s="149"/>
      <c r="L50" s="149"/>
      <c r="M50" s="149"/>
      <c r="N50" s="149"/>
      <c r="O50" s="149"/>
      <c r="P50" s="149"/>
      <c r="Q50" s="149"/>
      <c r="R50" s="264">
        <f>(H50/C50)*100</f>
        <v>88.7834404423853</v>
      </c>
      <c r="S50" s="263"/>
      <c r="T50" s="264">
        <f>J50/E50*100</f>
        <v>88.7834404423853</v>
      </c>
      <c r="U50" s="158"/>
    </row>
    <row r="51" spans="1:21" ht="36" customHeight="1">
      <c r="A51" s="138" t="s">
        <v>88</v>
      </c>
      <c r="B51" s="140" t="s">
        <v>165</v>
      </c>
      <c r="C51" s="135">
        <f>SUM(D51:F51)</f>
        <v>0</v>
      </c>
      <c r="D51" s="91"/>
      <c r="E51" s="91"/>
      <c r="F51" s="91"/>
      <c r="G51" s="91"/>
      <c r="H51" s="135">
        <f>SUM(I51:L51)+O51</f>
        <v>0</v>
      </c>
      <c r="I51" s="91"/>
      <c r="J51" s="91"/>
      <c r="K51" s="91"/>
      <c r="L51" s="135"/>
      <c r="M51" s="91"/>
      <c r="N51" s="91"/>
      <c r="O51" s="91"/>
      <c r="P51" s="91"/>
      <c r="Q51" s="91"/>
      <c r="R51" s="144"/>
      <c r="S51" s="144"/>
      <c r="T51" s="144"/>
      <c r="U51" s="144"/>
    </row>
    <row r="52" spans="1:21" ht="33" customHeight="1">
      <c r="A52" s="138" t="s">
        <v>89</v>
      </c>
      <c r="B52" s="140" t="s">
        <v>166</v>
      </c>
      <c r="C52" s="91">
        <f>SUM(D52:G52)</f>
        <v>0</v>
      </c>
      <c r="D52" s="91"/>
      <c r="E52" s="91"/>
      <c r="F52" s="91"/>
      <c r="G52" s="91"/>
      <c r="H52" s="176">
        <f>SUM(I52:L52)+O52+P52+Q52</f>
        <v>84257</v>
      </c>
      <c r="I52" s="91"/>
      <c r="J52" s="91"/>
      <c r="K52" s="91"/>
      <c r="L52" s="135"/>
      <c r="M52" s="91"/>
      <c r="N52" s="91"/>
      <c r="O52" s="91"/>
      <c r="P52" s="91">
        <v>84257</v>
      </c>
      <c r="Q52" s="91"/>
      <c r="R52" s="158"/>
      <c r="S52" s="139"/>
      <c r="T52" s="144"/>
      <c r="U52" s="144"/>
    </row>
    <row r="53" spans="1:21" ht="36" customHeight="1">
      <c r="A53" s="138" t="s">
        <v>107</v>
      </c>
      <c r="B53" s="140" t="s">
        <v>149</v>
      </c>
      <c r="C53" s="135">
        <f>SUM(D53:F53)</f>
        <v>0</v>
      </c>
      <c r="D53" s="91"/>
      <c r="E53" s="91"/>
      <c r="F53" s="91"/>
      <c r="G53" s="91"/>
      <c r="H53" s="91">
        <f>SUM(I53:L53)+O53+P53+Q53</f>
        <v>163645</v>
      </c>
      <c r="I53" s="91"/>
      <c r="J53" s="91"/>
      <c r="K53" s="91"/>
      <c r="L53" s="135"/>
      <c r="M53" s="91"/>
      <c r="N53" s="91"/>
      <c r="O53" s="91">
        <v>163645</v>
      </c>
      <c r="P53" s="91"/>
      <c r="Q53" s="91"/>
      <c r="R53" s="144"/>
      <c r="S53" s="144"/>
      <c r="T53" s="144"/>
      <c r="U53" s="144"/>
    </row>
    <row r="54" spans="1:21" ht="21" customHeight="1">
      <c r="A54" s="138" t="s">
        <v>231</v>
      </c>
      <c r="B54" s="140" t="s">
        <v>232</v>
      </c>
      <c r="C54" s="150">
        <f>SUM(D54:G54)</f>
        <v>0</v>
      </c>
      <c r="D54" s="91"/>
      <c r="E54" s="91"/>
      <c r="F54" s="91"/>
      <c r="G54" s="91"/>
      <c r="H54" s="150">
        <f>SUM(I54:L54)+O54+P54+Q54</f>
        <v>16697</v>
      </c>
      <c r="I54" s="91"/>
      <c r="J54" s="91"/>
      <c r="K54" s="91"/>
      <c r="L54" s="135"/>
      <c r="M54" s="91"/>
      <c r="N54" s="91"/>
      <c r="O54" s="91"/>
      <c r="P54" s="91"/>
      <c r="Q54" s="91">
        <v>16697</v>
      </c>
      <c r="R54" s="144"/>
      <c r="S54" s="144"/>
      <c r="T54" s="144"/>
      <c r="U54" s="144"/>
    </row>
  </sheetData>
  <sheetProtection/>
  <mergeCells count="28">
    <mergeCell ref="A1:B1"/>
    <mergeCell ref="A2:B2"/>
    <mergeCell ref="G8:G9"/>
    <mergeCell ref="P8:P9"/>
    <mergeCell ref="C7:G7"/>
    <mergeCell ref="H7:Q7"/>
    <mergeCell ref="L8:N8"/>
    <mergeCell ref="F8:F9"/>
    <mergeCell ref="H8:H9"/>
    <mergeCell ref="I8:I9"/>
    <mergeCell ref="J8:J9"/>
    <mergeCell ref="K8:K9"/>
    <mergeCell ref="R6:U6"/>
    <mergeCell ref="S1:U1"/>
    <mergeCell ref="O8:O9"/>
    <mergeCell ref="R8:R9"/>
    <mergeCell ref="S8:S9"/>
    <mergeCell ref="T8:T9"/>
    <mergeCell ref="U8:U9"/>
    <mergeCell ref="Q8:Q9"/>
    <mergeCell ref="A4:U4"/>
    <mergeCell ref="A5:U5"/>
    <mergeCell ref="A7:A9"/>
    <mergeCell ref="B7:B9"/>
    <mergeCell ref="R7:U7"/>
    <mergeCell ref="C8:C9"/>
    <mergeCell ref="D8:D9"/>
    <mergeCell ref="E8:E9"/>
  </mergeCells>
  <printOptions/>
  <pageMargins left="0.2755905511811024" right="0.1968503937007874" top="0.35433070866141736" bottom="0.53" header="0.31496062992125984" footer="0.31496062992125984"/>
  <pageSetup horizontalDpi="600" verticalDpi="600" orientation="landscape" paperSize="9" scale="75" r:id="rId2"/>
  <headerFooter>
    <oddFooter>&amp;RPage &amp;P</oddFooter>
  </headerFooter>
  <drawing r:id="rId1"/>
</worksheet>
</file>

<file path=xl/worksheets/sheet6.xml><?xml version="1.0" encoding="utf-8"?>
<worksheet xmlns="http://schemas.openxmlformats.org/spreadsheetml/2006/main" xmlns:r="http://schemas.openxmlformats.org/officeDocument/2006/relationships">
  <dimension ref="A1:V29"/>
  <sheetViews>
    <sheetView zoomScalePageLayoutView="0" workbookViewId="0" topLeftCell="A7">
      <pane ySplit="4" topLeftCell="A11" activePane="bottomLeft" state="frozen"/>
      <selection pane="topLeft" activeCell="A7" sqref="A7"/>
      <selection pane="bottomLeft" activeCell="G28" sqref="G28:G29"/>
    </sheetView>
  </sheetViews>
  <sheetFormatPr defaultColWidth="9.140625" defaultRowHeight="15"/>
  <cols>
    <col min="1" max="1" width="8.140625" style="74" customWidth="1"/>
    <col min="2" max="2" width="19.28125" style="74" customWidth="1"/>
    <col min="3" max="3" width="10.28125" style="76" customWidth="1"/>
    <col min="4" max="4" width="10.57421875" style="76" customWidth="1"/>
    <col min="5" max="5" width="10.140625" style="76" customWidth="1"/>
    <col min="6" max="6" width="9.7109375" style="76" customWidth="1"/>
    <col min="7" max="7" width="9.140625" style="76" customWidth="1"/>
    <col min="8" max="9" width="9.00390625" style="76" customWidth="1"/>
    <col min="10" max="11" width="8.7109375" style="76" customWidth="1"/>
    <col min="12" max="12" width="9.28125" style="76" customWidth="1"/>
    <col min="13" max="13" width="10.00390625" style="76" customWidth="1"/>
    <col min="14" max="14" width="9.421875" style="76" customWidth="1"/>
    <col min="15" max="15" width="8.00390625" style="76" customWidth="1"/>
    <col min="16" max="16" width="8.7109375" style="76" customWidth="1"/>
    <col min="17" max="17" width="8.140625" style="76" customWidth="1"/>
    <col min="18" max="18" width="8.8515625" style="76" customWidth="1"/>
    <col min="19" max="20" width="9.7109375" style="76" customWidth="1"/>
    <col min="21" max="21" width="0" style="74" hidden="1" customWidth="1"/>
    <col min="22" max="22" width="11.7109375" style="74" hidden="1" customWidth="1"/>
    <col min="23" max="16384" width="9.00390625" style="74" customWidth="1"/>
  </cols>
  <sheetData>
    <row r="1" spans="1:20" ht="12.75">
      <c r="A1" s="295" t="s">
        <v>0</v>
      </c>
      <c r="B1" s="295"/>
      <c r="C1" s="295"/>
      <c r="P1" s="130"/>
      <c r="Q1" s="273" t="s">
        <v>167</v>
      </c>
      <c r="R1" s="273"/>
      <c r="S1" s="273"/>
      <c r="T1" s="273"/>
    </row>
    <row r="2" spans="1:3" ht="12.75">
      <c r="A2" s="295" t="s">
        <v>239</v>
      </c>
      <c r="B2" s="295"/>
      <c r="C2" s="295"/>
    </row>
    <row r="3" ht="12.75">
      <c r="A3" s="115"/>
    </row>
    <row r="4" spans="1:20" ht="42" customHeight="1">
      <c r="A4" s="274" t="s">
        <v>338</v>
      </c>
      <c r="B4" s="295"/>
      <c r="C4" s="295"/>
      <c r="D4" s="295"/>
      <c r="E4" s="295"/>
      <c r="F4" s="295"/>
      <c r="G4" s="295"/>
      <c r="H4" s="295"/>
      <c r="I4" s="295"/>
      <c r="J4" s="295"/>
      <c r="K4" s="295"/>
      <c r="L4" s="295"/>
      <c r="M4" s="295"/>
      <c r="N4" s="295"/>
      <c r="O4" s="295"/>
      <c r="P4" s="295"/>
      <c r="Q4" s="295"/>
      <c r="R4" s="295"/>
      <c r="S4" s="295"/>
      <c r="T4" s="295"/>
    </row>
    <row r="5" spans="1:20" ht="19.5" customHeight="1">
      <c r="A5" s="275" t="s">
        <v>339</v>
      </c>
      <c r="B5" s="275"/>
      <c r="C5" s="275"/>
      <c r="D5" s="275"/>
      <c r="E5" s="275"/>
      <c r="F5" s="275"/>
      <c r="G5" s="275"/>
      <c r="H5" s="275"/>
      <c r="I5" s="275"/>
      <c r="J5" s="275"/>
      <c r="K5" s="275"/>
      <c r="L5" s="275"/>
      <c r="M5" s="275"/>
      <c r="N5" s="275"/>
      <c r="O5" s="275"/>
      <c r="P5" s="275"/>
      <c r="Q5" s="275"/>
      <c r="R5" s="275"/>
      <c r="S5" s="275"/>
      <c r="T5" s="275"/>
    </row>
    <row r="6" spans="1:20" ht="19.5" customHeight="1">
      <c r="A6" s="116"/>
      <c r="B6" s="116"/>
      <c r="C6" s="116"/>
      <c r="D6" s="116"/>
      <c r="E6" s="116"/>
      <c r="F6" s="116"/>
      <c r="G6" s="116"/>
      <c r="H6" s="116"/>
      <c r="I6" s="116"/>
      <c r="J6" s="116"/>
      <c r="K6" s="116"/>
      <c r="L6" s="116"/>
      <c r="M6" s="116"/>
      <c r="N6" s="116"/>
      <c r="O6" s="116"/>
      <c r="P6" s="116"/>
      <c r="Q6" s="116"/>
      <c r="R6" s="116"/>
      <c r="S6" s="116"/>
      <c r="T6" s="116"/>
    </row>
    <row r="7" spans="16:20" ht="12.75">
      <c r="P7" s="131"/>
      <c r="Q7" s="131"/>
      <c r="R7" s="278" t="s">
        <v>2</v>
      </c>
      <c r="S7" s="278"/>
      <c r="T7" s="278"/>
    </row>
    <row r="8" spans="1:20" s="117" customFormat="1" ht="29.25" customHeight="1">
      <c r="A8" s="276" t="s">
        <v>3</v>
      </c>
      <c r="B8" s="276" t="s">
        <v>168</v>
      </c>
      <c r="C8" s="277" t="s">
        <v>28</v>
      </c>
      <c r="D8" s="277"/>
      <c r="E8" s="277"/>
      <c r="F8" s="277"/>
      <c r="G8" s="277"/>
      <c r="H8" s="277"/>
      <c r="I8" s="277" t="s">
        <v>6</v>
      </c>
      <c r="J8" s="277"/>
      <c r="K8" s="277"/>
      <c r="L8" s="277"/>
      <c r="M8" s="277"/>
      <c r="N8" s="277"/>
      <c r="O8" s="277" t="s">
        <v>7</v>
      </c>
      <c r="P8" s="277"/>
      <c r="Q8" s="277"/>
      <c r="R8" s="277"/>
      <c r="S8" s="277"/>
      <c r="T8" s="277"/>
    </row>
    <row r="9" spans="1:20" s="117" customFormat="1" ht="31.5" customHeight="1">
      <c r="A9" s="276"/>
      <c r="B9" s="276"/>
      <c r="C9" s="277" t="s">
        <v>169</v>
      </c>
      <c r="D9" s="277" t="s">
        <v>170</v>
      </c>
      <c r="E9" s="277" t="s">
        <v>171</v>
      </c>
      <c r="F9" s="277"/>
      <c r="G9" s="277"/>
      <c r="H9" s="277"/>
      <c r="I9" s="277" t="s">
        <v>169</v>
      </c>
      <c r="J9" s="277" t="s">
        <v>170</v>
      </c>
      <c r="K9" s="277" t="s">
        <v>171</v>
      </c>
      <c r="L9" s="277"/>
      <c r="M9" s="277"/>
      <c r="N9" s="277"/>
      <c r="O9" s="277" t="s">
        <v>169</v>
      </c>
      <c r="P9" s="277" t="s">
        <v>170</v>
      </c>
      <c r="Q9" s="277" t="s">
        <v>171</v>
      </c>
      <c r="R9" s="277"/>
      <c r="S9" s="277"/>
      <c r="T9" s="277"/>
    </row>
    <row r="10" spans="1:20" s="117" customFormat="1" ht="193.5" customHeight="1">
      <c r="A10" s="276"/>
      <c r="B10" s="276"/>
      <c r="C10" s="277"/>
      <c r="D10" s="277"/>
      <c r="E10" s="77" t="s">
        <v>169</v>
      </c>
      <c r="F10" s="77" t="s">
        <v>195</v>
      </c>
      <c r="G10" s="77" t="s">
        <v>196</v>
      </c>
      <c r="H10" s="77" t="s">
        <v>197</v>
      </c>
      <c r="I10" s="277"/>
      <c r="J10" s="277"/>
      <c r="K10" s="77" t="s">
        <v>169</v>
      </c>
      <c r="L10" s="77" t="s">
        <v>195</v>
      </c>
      <c r="M10" s="77" t="s">
        <v>196</v>
      </c>
      <c r="N10" s="77" t="s">
        <v>197</v>
      </c>
      <c r="O10" s="277"/>
      <c r="P10" s="277"/>
      <c r="Q10" s="77" t="s">
        <v>169</v>
      </c>
      <c r="R10" s="77" t="s">
        <v>195</v>
      </c>
      <c r="S10" s="77" t="s">
        <v>196</v>
      </c>
      <c r="T10" s="77" t="s">
        <v>197</v>
      </c>
    </row>
    <row r="11" spans="1:20" s="40" customFormat="1" ht="30" customHeight="1">
      <c r="A11" s="10" t="s">
        <v>8</v>
      </c>
      <c r="B11" s="10" t="s">
        <v>9</v>
      </c>
      <c r="C11" s="10" t="s">
        <v>78</v>
      </c>
      <c r="D11" s="10" t="s">
        <v>173</v>
      </c>
      <c r="E11" s="10" t="s">
        <v>222</v>
      </c>
      <c r="F11" s="10" t="s">
        <v>178</v>
      </c>
      <c r="G11" s="10" t="s">
        <v>179</v>
      </c>
      <c r="H11" s="10" t="s">
        <v>180</v>
      </c>
      <c r="I11" s="10" t="s">
        <v>223</v>
      </c>
      <c r="J11" s="10" t="s">
        <v>189</v>
      </c>
      <c r="K11" s="10" t="s">
        <v>224</v>
      </c>
      <c r="L11" s="10" t="s">
        <v>191</v>
      </c>
      <c r="M11" s="10" t="s">
        <v>192</v>
      </c>
      <c r="N11" s="10" t="s">
        <v>193</v>
      </c>
      <c r="O11" s="10" t="s">
        <v>225</v>
      </c>
      <c r="P11" s="10" t="s">
        <v>226</v>
      </c>
      <c r="Q11" s="10" t="s">
        <v>227</v>
      </c>
      <c r="R11" s="10" t="s">
        <v>228</v>
      </c>
      <c r="S11" s="10" t="s">
        <v>229</v>
      </c>
      <c r="T11" s="10" t="s">
        <v>230</v>
      </c>
    </row>
    <row r="12" spans="1:22" s="75" customFormat="1" ht="30.75" customHeight="1">
      <c r="A12" s="118"/>
      <c r="B12" s="118" t="s">
        <v>143</v>
      </c>
      <c r="C12" s="119">
        <f aca="true" t="shared" si="0" ref="C12:N12">SUM(C13:C29)</f>
        <v>71137</v>
      </c>
      <c r="D12" s="119">
        <f t="shared" si="0"/>
        <v>51320</v>
      </c>
      <c r="E12" s="119">
        <f t="shared" si="0"/>
        <v>19817</v>
      </c>
      <c r="F12" s="119">
        <f t="shared" si="0"/>
        <v>0</v>
      </c>
      <c r="G12" s="119">
        <f t="shared" si="0"/>
        <v>19817</v>
      </c>
      <c r="H12" s="119">
        <f t="shared" si="0"/>
        <v>0</v>
      </c>
      <c r="I12" s="119">
        <f t="shared" si="0"/>
        <v>135576</v>
      </c>
      <c r="J12" s="119">
        <f t="shared" si="0"/>
        <v>51320</v>
      </c>
      <c r="K12" s="119">
        <f t="shared" si="0"/>
        <v>84256</v>
      </c>
      <c r="L12" s="119">
        <f t="shared" si="0"/>
        <v>7114</v>
      </c>
      <c r="M12" s="119">
        <f t="shared" si="0"/>
        <v>76303</v>
      </c>
      <c r="N12" s="119">
        <f t="shared" si="0"/>
        <v>839</v>
      </c>
      <c r="O12" s="119">
        <f aca="true" t="shared" si="1" ref="O12:O29">(I12/C12)*100</f>
        <v>190.58436537947904</v>
      </c>
      <c r="P12" s="119">
        <f aca="true" t="shared" si="2" ref="P12:P29">(J12/D12)*100</f>
        <v>100</v>
      </c>
      <c r="Q12" s="120">
        <f>K12/E12*100</f>
        <v>425.17030832113846</v>
      </c>
      <c r="R12" s="119"/>
      <c r="S12" s="119">
        <f>M12/G12*100</f>
        <v>385.0380986022102</v>
      </c>
      <c r="T12" s="119"/>
      <c r="U12" s="119">
        <f>SUM(U13:U29)</f>
        <v>156776</v>
      </c>
      <c r="V12" s="119">
        <f>SUM(V13:V29)</f>
        <v>164729</v>
      </c>
    </row>
    <row r="13" spans="1:22" ht="30.75" customHeight="1">
      <c r="A13" s="121" t="s">
        <v>172</v>
      </c>
      <c r="B13" s="122" t="s">
        <v>175</v>
      </c>
      <c r="C13" s="123">
        <f>SUM(D13:E13)</f>
        <v>4900</v>
      </c>
      <c r="D13" s="78">
        <v>3654</v>
      </c>
      <c r="E13" s="78">
        <f>SUM(F13:H13)</f>
        <v>1246</v>
      </c>
      <c r="F13" s="78"/>
      <c r="G13" s="78">
        <v>1246</v>
      </c>
      <c r="H13" s="78"/>
      <c r="I13" s="78">
        <f>SUM(J13:K13)</f>
        <v>7940</v>
      </c>
      <c r="J13" s="78">
        <v>3654</v>
      </c>
      <c r="K13" s="78">
        <f>SUM(L13:N13)</f>
        <v>4286</v>
      </c>
      <c r="L13" s="78">
        <v>169</v>
      </c>
      <c r="M13" s="78">
        <f>4286-169-56.5</f>
        <v>4060.5</v>
      </c>
      <c r="N13" s="78">
        <v>56.5</v>
      </c>
      <c r="O13" s="78">
        <f t="shared" si="1"/>
        <v>162.0408163265306</v>
      </c>
      <c r="P13" s="78">
        <f t="shared" si="2"/>
        <v>100</v>
      </c>
      <c r="Q13" s="78">
        <f>K13/E13*100</f>
        <v>343.98073836276086</v>
      </c>
      <c r="R13" s="78"/>
      <c r="S13" s="78">
        <f>M13/G13*100</f>
        <v>325.8828250401284</v>
      </c>
      <c r="T13" s="78"/>
      <c r="U13" s="172">
        <f>V13-L13-N13</f>
        <v>16132.5</v>
      </c>
      <c r="V13" s="171">
        <v>16358</v>
      </c>
    </row>
    <row r="14" spans="1:22" ht="30.75" customHeight="1">
      <c r="A14" s="124" t="s">
        <v>173</v>
      </c>
      <c r="B14" s="125" t="s">
        <v>176</v>
      </c>
      <c r="C14" s="126">
        <f aca="true" t="shared" si="3" ref="C14:C29">SUM(D14:E14)</f>
        <v>3500</v>
      </c>
      <c r="D14" s="73">
        <v>2267</v>
      </c>
      <c r="E14" s="73">
        <f>SUM(F14:H14)</f>
        <v>1233</v>
      </c>
      <c r="F14" s="73"/>
      <c r="G14" s="73">
        <v>1233</v>
      </c>
      <c r="H14" s="73"/>
      <c r="I14" s="73">
        <f aca="true" t="shared" si="4" ref="I14:I29">SUM(J14:K14)</f>
        <v>7629</v>
      </c>
      <c r="J14" s="73">
        <v>2267</v>
      </c>
      <c r="K14" s="73">
        <f>SUM(L14:N14)</f>
        <v>5362</v>
      </c>
      <c r="L14" s="73"/>
      <c r="M14" s="73">
        <f>5362-56.5</f>
        <v>5305.5</v>
      </c>
      <c r="N14" s="73">
        <v>56.5</v>
      </c>
      <c r="O14" s="73">
        <f t="shared" si="1"/>
        <v>217.97142857142856</v>
      </c>
      <c r="P14" s="73">
        <f t="shared" si="2"/>
        <v>100</v>
      </c>
      <c r="Q14" s="73">
        <f>K14/E14*100</f>
        <v>434.87429034874293</v>
      </c>
      <c r="R14" s="73"/>
      <c r="S14" s="73">
        <f>M14/G14*100</f>
        <v>430.2919708029197</v>
      </c>
      <c r="T14" s="73"/>
      <c r="U14" s="172">
        <f aca="true" t="shared" si="5" ref="U14:U29">V14-L14-N14</f>
        <v>6852.5</v>
      </c>
      <c r="V14" s="171">
        <v>6909</v>
      </c>
    </row>
    <row r="15" spans="1:22" ht="30.75" customHeight="1">
      <c r="A15" s="124" t="s">
        <v>174</v>
      </c>
      <c r="B15" s="125" t="s">
        <v>177</v>
      </c>
      <c r="C15" s="126">
        <f t="shared" si="3"/>
        <v>4186</v>
      </c>
      <c r="D15" s="73">
        <v>3396</v>
      </c>
      <c r="E15" s="73">
        <f aca="true" t="shared" si="6" ref="E15:E29">SUM(F15:H15)</f>
        <v>790</v>
      </c>
      <c r="F15" s="73"/>
      <c r="G15" s="73">
        <v>790</v>
      </c>
      <c r="H15" s="73"/>
      <c r="I15" s="73">
        <f t="shared" si="4"/>
        <v>7152</v>
      </c>
      <c r="J15" s="73">
        <v>3396</v>
      </c>
      <c r="K15" s="73">
        <f aca="true" t="shared" si="7" ref="K15:K29">SUM(L15:N15)</f>
        <v>3756</v>
      </c>
      <c r="L15" s="73"/>
      <c r="M15" s="73">
        <f>3756-56.5</f>
        <v>3699.5</v>
      </c>
      <c r="N15" s="73">
        <v>56.5</v>
      </c>
      <c r="O15" s="73">
        <f t="shared" si="1"/>
        <v>170.85523172479697</v>
      </c>
      <c r="P15" s="73">
        <f t="shared" si="2"/>
        <v>100</v>
      </c>
      <c r="Q15" s="73">
        <f>K15/E15*100</f>
        <v>475.4430379746835</v>
      </c>
      <c r="R15" s="73"/>
      <c r="S15" s="73">
        <f aca="true" t="shared" si="8" ref="S15:S29">M15/G15*100</f>
        <v>468.2911392405063</v>
      </c>
      <c r="T15" s="73"/>
      <c r="U15" s="172">
        <f t="shared" si="5"/>
        <v>7666.5</v>
      </c>
      <c r="V15" s="171">
        <v>7723</v>
      </c>
    </row>
    <row r="16" spans="1:22" ht="30.75" customHeight="1">
      <c r="A16" s="124" t="s">
        <v>178</v>
      </c>
      <c r="B16" s="127" t="s">
        <v>340</v>
      </c>
      <c r="C16" s="126">
        <f t="shared" si="3"/>
        <v>2902</v>
      </c>
      <c r="D16" s="73">
        <v>1732</v>
      </c>
      <c r="E16" s="73">
        <f t="shared" si="6"/>
        <v>1170</v>
      </c>
      <c r="F16" s="73"/>
      <c r="G16" s="73">
        <v>1170</v>
      </c>
      <c r="H16" s="73"/>
      <c r="I16" s="73">
        <f t="shared" si="4"/>
        <v>5939</v>
      </c>
      <c r="J16" s="73">
        <v>1732</v>
      </c>
      <c r="K16" s="73">
        <f t="shared" si="7"/>
        <v>4207</v>
      </c>
      <c r="L16" s="73">
        <v>80</v>
      </c>
      <c r="M16" s="73">
        <f>4207-80</f>
        <v>4127</v>
      </c>
      <c r="N16" s="73"/>
      <c r="O16" s="73">
        <f t="shared" si="1"/>
        <v>204.65196416264644</v>
      </c>
      <c r="P16" s="73">
        <f t="shared" si="2"/>
        <v>100</v>
      </c>
      <c r="Q16" s="73">
        <f>K16/E16*100</f>
        <v>359.5726495726496</v>
      </c>
      <c r="R16" s="73"/>
      <c r="S16" s="73">
        <f t="shared" si="8"/>
        <v>352.7350427350427</v>
      </c>
      <c r="T16" s="73"/>
      <c r="U16" s="172">
        <f t="shared" si="5"/>
        <v>7378</v>
      </c>
      <c r="V16" s="171">
        <v>7458</v>
      </c>
    </row>
    <row r="17" spans="1:22" ht="30.75" customHeight="1">
      <c r="A17" s="124" t="s">
        <v>179</v>
      </c>
      <c r="B17" s="80" t="s">
        <v>341</v>
      </c>
      <c r="C17" s="126">
        <f t="shared" si="3"/>
        <v>3966</v>
      </c>
      <c r="D17" s="79">
        <v>2888</v>
      </c>
      <c r="E17" s="73">
        <f t="shared" si="6"/>
        <v>1078</v>
      </c>
      <c r="F17" s="73"/>
      <c r="G17" s="73">
        <v>1078</v>
      </c>
      <c r="H17" s="73"/>
      <c r="I17" s="73">
        <f t="shared" si="4"/>
        <v>6285</v>
      </c>
      <c r="J17" s="79">
        <v>2888</v>
      </c>
      <c r="K17" s="73">
        <f t="shared" si="7"/>
        <v>3397</v>
      </c>
      <c r="L17" s="79">
        <v>292</v>
      </c>
      <c r="M17" s="79">
        <f>3397-292</f>
        <v>3105</v>
      </c>
      <c r="N17" s="79"/>
      <c r="O17" s="73">
        <f t="shared" si="1"/>
        <v>158.47201210287443</v>
      </c>
      <c r="P17" s="73">
        <f t="shared" si="2"/>
        <v>100</v>
      </c>
      <c r="Q17" s="73">
        <f>K17/E17*100</f>
        <v>315.1205936920223</v>
      </c>
      <c r="R17" s="73"/>
      <c r="S17" s="73">
        <f t="shared" si="8"/>
        <v>288.0333951762523</v>
      </c>
      <c r="T17" s="73"/>
      <c r="U17" s="172">
        <f t="shared" si="5"/>
        <v>7933</v>
      </c>
      <c r="V17" s="171">
        <v>8225</v>
      </c>
    </row>
    <row r="18" spans="1:22" ht="30.75" customHeight="1">
      <c r="A18" s="124" t="s">
        <v>180</v>
      </c>
      <c r="B18" s="80" t="s">
        <v>342</v>
      </c>
      <c r="C18" s="126">
        <f t="shared" si="3"/>
        <v>4885</v>
      </c>
      <c r="D18" s="79">
        <v>3876</v>
      </c>
      <c r="E18" s="73">
        <f t="shared" si="6"/>
        <v>1009</v>
      </c>
      <c r="F18" s="73"/>
      <c r="G18" s="73">
        <v>1009</v>
      </c>
      <c r="H18" s="73"/>
      <c r="I18" s="73">
        <f t="shared" si="4"/>
        <v>9481</v>
      </c>
      <c r="J18" s="79">
        <v>3876</v>
      </c>
      <c r="K18" s="73">
        <f t="shared" si="7"/>
        <v>5605</v>
      </c>
      <c r="L18" s="79">
        <v>1066</v>
      </c>
      <c r="M18" s="79">
        <f>5605-1066</f>
        <v>4539</v>
      </c>
      <c r="N18" s="79"/>
      <c r="O18" s="73">
        <f t="shared" si="1"/>
        <v>194.08393039918116</v>
      </c>
      <c r="P18" s="73">
        <f t="shared" si="2"/>
        <v>100</v>
      </c>
      <c r="Q18" s="73">
        <f aca="true" t="shared" si="9" ref="Q18:Q29">K18/E18*100</f>
        <v>555.5004955401388</v>
      </c>
      <c r="R18" s="73"/>
      <c r="S18" s="73">
        <f t="shared" si="8"/>
        <v>449.85133795837464</v>
      </c>
      <c r="T18" s="73"/>
      <c r="U18" s="172">
        <f t="shared" si="5"/>
        <v>3445</v>
      </c>
      <c r="V18" s="171">
        <v>4511</v>
      </c>
    </row>
    <row r="19" spans="1:22" ht="30.75" customHeight="1">
      <c r="A19" s="124" t="s">
        <v>181</v>
      </c>
      <c r="B19" s="80" t="s">
        <v>182</v>
      </c>
      <c r="C19" s="126">
        <f t="shared" si="3"/>
        <v>4290</v>
      </c>
      <c r="D19" s="79">
        <v>3395</v>
      </c>
      <c r="E19" s="73">
        <f t="shared" si="6"/>
        <v>895</v>
      </c>
      <c r="F19" s="73"/>
      <c r="G19" s="73">
        <v>895</v>
      </c>
      <c r="H19" s="73"/>
      <c r="I19" s="73">
        <f t="shared" si="4"/>
        <v>5715</v>
      </c>
      <c r="J19" s="79">
        <v>3395</v>
      </c>
      <c r="K19" s="73">
        <f t="shared" si="7"/>
        <v>2320</v>
      </c>
      <c r="L19" s="79"/>
      <c r="M19" s="79">
        <f>2320-56.5</f>
        <v>2263.5</v>
      </c>
      <c r="N19" s="79">
        <v>56.5</v>
      </c>
      <c r="O19" s="73">
        <f t="shared" si="1"/>
        <v>133.2167832167832</v>
      </c>
      <c r="P19" s="73">
        <f t="shared" si="2"/>
        <v>100</v>
      </c>
      <c r="Q19" s="73">
        <f t="shared" si="9"/>
        <v>259.21787709497204</v>
      </c>
      <c r="R19" s="73"/>
      <c r="S19" s="73">
        <f t="shared" si="8"/>
        <v>252.9050279329609</v>
      </c>
      <c r="T19" s="73"/>
      <c r="U19" s="172">
        <f t="shared" si="5"/>
        <v>11923.5</v>
      </c>
      <c r="V19" s="171">
        <v>11980</v>
      </c>
    </row>
    <row r="20" spans="1:22" ht="30.75" customHeight="1">
      <c r="A20" s="124" t="s">
        <v>183</v>
      </c>
      <c r="B20" s="80" t="s">
        <v>343</v>
      </c>
      <c r="C20" s="126">
        <f t="shared" si="3"/>
        <v>3148</v>
      </c>
      <c r="D20" s="79">
        <v>2224</v>
      </c>
      <c r="E20" s="73">
        <f t="shared" si="6"/>
        <v>924</v>
      </c>
      <c r="F20" s="73"/>
      <c r="G20" s="73">
        <v>924</v>
      </c>
      <c r="H20" s="73"/>
      <c r="I20" s="73">
        <f t="shared" si="4"/>
        <v>5773</v>
      </c>
      <c r="J20" s="79">
        <v>2224</v>
      </c>
      <c r="K20" s="73">
        <f t="shared" si="7"/>
        <v>3549</v>
      </c>
      <c r="L20" s="79">
        <v>220</v>
      </c>
      <c r="M20" s="79">
        <f>3549-220</f>
        <v>3329</v>
      </c>
      <c r="N20" s="79"/>
      <c r="O20" s="73">
        <f t="shared" si="1"/>
        <v>183.38627700127066</v>
      </c>
      <c r="P20" s="73">
        <f t="shared" si="2"/>
        <v>100</v>
      </c>
      <c r="Q20" s="73">
        <f t="shared" si="9"/>
        <v>384.09090909090907</v>
      </c>
      <c r="R20" s="73"/>
      <c r="S20" s="73">
        <f t="shared" si="8"/>
        <v>360.28138528138527</v>
      </c>
      <c r="T20" s="73"/>
      <c r="U20" s="172">
        <f t="shared" si="5"/>
        <v>12239</v>
      </c>
      <c r="V20" s="171">
        <v>12459</v>
      </c>
    </row>
    <row r="21" spans="1:22" ht="30.75" customHeight="1">
      <c r="A21" s="124" t="s">
        <v>184</v>
      </c>
      <c r="B21" s="80" t="s">
        <v>344</v>
      </c>
      <c r="C21" s="126">
        <f t="shared" si="3"/>
        <v>4174</v>
      </c>
      <c r="D21" s="79">
        <v>2957</v>
      </c>
      <c r="E21" s="73">
        <f t="shared" si="6"/>
        <v>1217</v>
      </c>
      <c r="F21" s="73"/>
      <c r="G21" s="73">
        <v>1217</v>
      </c>
      <c r="H21" s="73"/>
      <c r="I21" s="73">
        <f t="shared" si="4"/>
        <v>9828</v>
      </c>
      <c r="J21" s="79">
        <v>2957</v>
      </c>
      <c r="K21" s="73">
        <f t="shared" si="7"/>
        <v>6871</v>
      </c>
      <c r="L21" s="79">
        <v>280</v>
      </c>
      <c r="M21" s="79">
        <f>6871-280</f>
        <v>6591</v>
      </c>
      <c r="N21" s="79"/>
      <c r="O21" s="73">
        <f t="shared" si="1"/>
        <v>235.45759463344513</v>
      </c>
      <c r="P21" s="73">
        <f t="shared" si="2"/>
        <v>100</v>
      </c>
      <c r="Q21" s="73">
        <f t="shared" si="9"/>
        <v>564.5850451930978</v>
      </c>
      <c r="R21" s="73"/>
      <c r="S21" s="73">
        <f t="shared" si="8"/>
        <v>541.5776499589153</v>
      </c>
      <c r="T21" s="73"/>
      <c r="U21" s="172">
        <f t="shared" si="5"/>
        <v>14389</v>
      </c>
      <c r="V21" s="171">
        <v>14669</v>
      </c>
    </row>
    <row r="22" spans="1:22" ht="30.75" customHeight="1">
      <c r="A22" s="124" t="s">
        <v>185</v>
      </c>
      <c r="B22" s="80" t="s">
        <v>345</v>
      </c>
      <c r="C22" s="126">
        <f t="shared" si="3"/>
        <v>4737</v>
      </c>
      <c r="D22" s="79">
        <v>3888</v>
      </c>
      <c r="E22" s="73">
        <f t="shared" si="6"/>
        <v>849</v>
      </c>
      <c r="F22" s="73"/>
      <c r="G22" s="73">
        <v>849</v>
      </c>
      <c r="H22" s="73"/>
      <c r="I22" s="73">
        <f t="shared" si="4"/>
        <v>8406</v>
      </c>
      <c r="J22" s="79">
        <v>3888</v>
      </c>
      <c r="K22" s="73">
        <f t="shared" si="7"/>
        <v>4518</v>
      </c>
      <c r="L22" s="79">
        <v>2012</v>
      </c>
      <c r="M22" s="79">
        <f>4518-2012</f>
        <v>2506</v>
      </c>
      <c r="N22" s="79"/>
      <c r="O22" s="73">
        <f t="shared" si="1"/>
        <v>177.45408486383786</v>
      </c>
      <c r="P22" s="73">
        <f t="shared" si="2"/>
        <v>100</v>
      </c>
      <c r="Q22" s="73">
        <f t="shared" si="9"/>
        <v>532.1554770318021</v>
      </c>
      <c r="R22" s="73"/>
      <c r="S22" s="73">
        <f t="shared" si="8"/>
        <v>295.170789163722</v>
      </c>
      <c r="T22" s="73"/>
      <c r="U22" s="172">
        <f t="shared" si="5"/>
        <v>9121</v>
      </c>
      <c r="V22" s="171">
        <v>11133</v>
      </c>
    </row>
    <row r="23" spans="1:22" ht="30.75" customHeight="1">
      <c r="A23" s="124" t="s">
        <v>186</v>
      </c>
      <c r="B23" s="80" t="s">
        <v>346</v>
      </c>
      <c r="C23" s="126">
        <f t="shared" si="3"/>
        <v>5186</v>
      </c>
      <c r="D23" s="79">
        <v>3574</v>
      </c>
      <c r="E23" s="73">
        <f t="shared" si="6"/>
        <v>1612</v>
      </c>
      <c r="F23" s="73"/>
      <c r="G23" s="73">
        <v>1612</v>
      </c>
      <c r="H23" s="73"/>
      <c r="I23" s="73">
        <f t="shared" si="4"/>
        <v>9762</v>
      </c>
      <c r="J23" s="79">
        <v>3574</v>
      </c>
      <c r="K23" s="73">
        <f t="shared" si="7"/>
        <v>6188</v>
      </c>
      <c r="L23" s="79">
        <v>340</v>
      </c>
      <c r="M23" s="79">
        <f>6188-340</f>
        <v>5848</v>
      </c>
      <c r="N23" s="79"/>
      <c r="O23" s="73">
        <f t="shared" si="1"/>
        <v>188.23756266872348</v>
      </c>
      <c r="P23" s="73">
        <f t="shared" si="2"/>
        <v>100</v>
      </c>
      <c r="Q23" s="73">
        <f t="shared" si="9"/>
        <v>383.8709677419355</v>
      </c>
      <c r="R23" s="73"/>
      <c r="S23" s="73">
        <f t="shared" si="8"/>
        <v>362.77915632754343</v>
      </c>
      <c r="T23" s="73"/>
      <c r="U23" s="172">
        <f t="shared" si="5"/>
        <v>8380</v>
      </c>
      <c r="V23" s="171">
        <v>8720</v>
      </c>
    </row>
    <row r="24" spans="1:22" ht="30.75" customHeight="1">
      <c r="A24" s="124" t="s">
        <v>187</v>
      </c>
      <c r="B24" s="80" t="s">
        <v>188</v>
      </c>
      <c r="C24" s="126">
        <f t="shared" si="3"/>
        <v>4279</v>
      </c>
      <c r="D24" s="79">
        <v>3237</v>
      </c>
      <c r="E24" s="73">
        <f t="shared" si="6"/>
        <v>1042</v>
      </c>
      <c r="F24" s="73"/>
      <c r="G24" s="73">
        <v>1042</v>
      </c>
      <c r="H24" s="73"/>
      <c r="I24" s="73">
        <f t="shared" si="4"/>
        <v>10036</v>
      </c>
      <c r="J24" s="79">
        <v>3237</v>
      </c>
      <c r="K24" s="73">
        <f t="shared" si="7"/>
        <v>6799</v>
      </c>
      <c r="L24" s="79">
        <v>596</v>
      </c>
      <c r="M24" s="79">
        <f>6800-596-557.5</f>
        <v>5646.5</v>
      </c>
      <c r="N24" s="79">
        <f>56.5+500</f>
        <v>556.5</v>
      </c>
      <c r="O24" s="73">
        <f t="shared" si="1"/>
        <v>234.5407805562047</v>
      </c>
      <c r="P24" s="73">
        <f t="shared" si="2"/>
        <v>100</v>
      </c>
      <c r="Q24" s="73">
        <f t="shared" si="9"/>
        <v>652.4952015355086</v>
      </c>
      <c r="R24" s="73"/>
      <c r="S24" s="73">
        <f t="shared" si="8"/>
        <v>541.890595009597</v>
      </c>
      <c r="T24" s="73"/>
      <c r="U24" s="172">
        <f t="shared" si="5"/>
        <v>9868.5</v>
      </c>
      <c r="V24" s="171">
        <v>11021</v>
      </c>
    </row>
    <row r="25" spans="1:22" ht="30.75" customHeight="1">
      <c r="A25" s="124" t="s">
        <v>189</v>
      </c>
      <c r="B25" s="80" t="s">
        <v>347</v>
      </c>
      <c r="C25" s="126">
        <f t="shared" si="3"/>
        <v>3788</v>
      </c>
      <c r="D25" s="79">
        <v>3086</v>
      </c>
      <c r="E25" s="73">
        <f t="shared" si="6"/>
        <v>702</v>
      </c>
      <c r="F25" s="73"/>
      <c r="G25" s="73">
        <v>702</v>
      </c>
      <c r="H25" s="73"/>
      <c r="I25" s="73">
        <f t="shared" si="4"/>
        <v>5976</v>
      </c>
      <c r="J25" s="79">
        <v>3086</v>
      </c>
      <c r="K25" s="73">
        <f t="shared" si="7"/>
        <v>2890</v>
      </c>
      <c r="L25" s="79">
        <v>120</v>
      </c>
      <c r="M25" s="79">
        <f>2890-120</f>
        <v>2770</v>
      </c>
      <c r="N25" s="79"/>
      <c r="O25" s="73">
        <f t="shared" si="1"/>
        <v>157.76135163674763</v>
      </c>
      <c r="P25" s="73">
        <f t="shared" si="2"/>
        <v>100</v>
      </c>
      <c r="Q25" s="73">
        <f t="shared" si="9"/>
        <v>411.6809116809117</v>
      </c>
      <c r="R25" s="73"/>
      <c r="S25" s="73">
        <f t="shared" si="8"/>
        <v>394.5868945868946</v>
      </c>
      <c r="T25" s="73"/>
      <c r="U25" s="172">
        <f t="shared" si="5"/>
        <v>15451</v>
      </c>
      <c r="V25" s="171">
        <v>15571</v>
      </c>
    </row>
    <row r="26" spans="1:22" ht="30.75" customHeight="1">
      <c r="A26" s="124" t="s">
        <v>190</v>
      </c>
      <c r="B26" s="80" t="s">
        <v>348</v>
      </c>
      <c r="C26" s="126">
        <f t="shared" si="3"/>
        <v>3899</v>
      </c>
      <c r="D26" s="79">
        <v>2560</v>
      </c>
      <c r="E26" s="73">
        <f t="shared" si="6"/>
        <v>1339</v>
      </c>
      <c r="F26" s="73"/>
      <c r="G26" s="73">
        <v>1339</v>
      </c>
      <c r="H26" s="73"/>
      <c r="I26" s="73">
        <f t="shared" si="4"/>
        <v>5759</v>
      </c>
      <c r="J26" s="79">
        <v>2560</v>
      </c>
      <c r="K26" s="73">
        <f t="shared" si="7"/>
        <v>3199</v>
      </c>
      <c r="L26" s="79">
        <v>220</v>
      </c>
      <c r="M26" s="79">
        <f>3199-220</f>
        <v>2979</v>
      </c>
      <c r="N26" s="79"/>
      <c r="O26" s="73">
        <f t="shared" si="1"/>
        <v>147.704539625545</v>
      </c>
      <c r="P26" s="73">
        <f t="shared" si="2"/>
        <v>100</v>
      </c>
      <c r="Q26" s="73">
        <f t="shared" si="9"/>
        <v>238.90963405526514</v>
      </c>
      <c r="R26" s="73"/>
      <c r="S26" s="73">
        <f t="shared" si="8"/>
        <v>222.47946228528752</v>
      </c>
      <c r="T26" s="73"/>
      <c r="U26" s="172">
        <f t="shared" si="5"/>
        <v>7527</v>
      </c>
      <c r="V26" s="171">
        <v>7747</v>
      </c>
    </row>
    <row r="27" spans="1:22" ht="30.75" customHeight="1">
      <c r="A27" s="124" t="s">
        <v>191</v>
      </c>
      <c r="B27" s="80" t="s">
        <v>349</v>
      </c>
      <c r="C27" s="126">
        <f t="shared" si="3"/>
        <v>2693</v>
      </c>
      <c r="D27" s="79">
        <v>768</v>
      </c>
      <c r="E27" s="73">
        <f t="shared" si="6"/>
        <v>1925</v>
      </c>
      <c r="F27" s="73"/>
      <c r="G27" s="73">
        <v>1925</v>
      </c>
      <c r="H27" s="73"/>
      <c r="I27" s="73">
        <f t="shared" si="4"/>
        <v>8534</v>
      </c>
      <c r="J27" s="79">
        <v>768</v>
      </c>
      <c r="K27" s="73">
        <f t="shared" si="7"/>
        <v>7766</v>
      </c>
      <c r="L27" s="79">
        <v>839</v>
      </c>
      <c r="M27" s="79">
        <f>7766-839</f>
        <v>6927</v>
      </c>
      <c r="N27" s="79"/>
      <c r="O27" s="73">
        <f t="shared" si="1"/>
        <v>316.8956554028964</v>
      </c>
      <c r="P27" s="73">
        <f t="shared" si="2"/>
        <v>100</v>
      </c>
      <c r="Q27" s="73">
        <f t="shared" si="9"/>
        <v>403.42857142857144</v>
      </c>
      <c r="R27" s="73"/>
      <c r="S27" s="73">
        <f t="shared" si="8"/>
        <v>359.84415584415586</v>
      </c>
      <c r="T27" s="73"/>
      <c r="U27" s="172">
        <f t="shared" si="5"/>
        <v>4482</v>
      </c>
      <c r="V27" s="171">
        <v>5321</v>
      </c>
    </row>
    <row r="28" spans="1:22" ht="30.75" customHeight="1">
      <c r="A28" s="124" t="s">
        <v>192</v>
      </c>
      <c r="B28" s="80" t="s">
        <v>350</v>
      </c>
      <c r="C28" s="126">
        <f t="shared" si="3"/>
        <v>4806</v>
      </c>
      <c r="D28" s="79">
        <v>3268</v>
      </c>
      <c r="E28" s="73">
        <f t="shared" si="6"/>
        <v>1538</v>
      </c>
      <c r="F28" s="73"/>
      <c r="G28" s="73">
        <v>1538</v>
      </c>
      <c r="H28" s="73"/>
      <c r="I28" s="73">
        <f t="shared" si="4"/>
        <v>7581</v>
      </c>
      <c r="J28" s="79">
        <v>3268</v>
      </c>
      <c r="K28" s="73">
        <f t="shared" si="7"/>
        <v>4313</v>
      </c>
      <c r="L28" s="79">
        <v>260</v>
      </c>
      <c r="M28" s="79">
        <f>4313-260</f>
        <v>4053</v>
      </c>
      <c r="N28" s="79"/>
      <c r="O28" s="73">
        <f t="shared" si="1"/>
        <v>157.74032459425717</v>
      </c>
      <c r="P28" s="73">
        <f t="shared" si="2"/>
        <v>100</v>
      </c>
      <c r="Q28" s="73">
        <f t="shared" si="9"/>
        <v>280.42912873862156</v>
      </c>
      <c r="R28" s="73"/>
      <c r="S28" s="73">
        <f t="shared" si="8"/>
        <v>263.52405721716514</v>
      </c>
      <c r="T28" s="73"/>
      <c r="U28" s="172">
        <f t="shared" si="5"/>
        <v>6157</v>
      </c>
      <c r="V28" s="171">
        <v>6417</v>
      </c>
    </row>
    <row r="29" spans="1:22" ht="30.75" customHeight="1">
      <c r="A29" s="128" t="s">
        <v>193</v>
      </c>
      <c r="B29" s="82" t="s">
        <v>194</v>
      </c>
      <c r="C29" s="129">
        <f t="shared" si="3"/>
        <v>5798</v>
      </c>
      <c r="D29" s="83">
        <v>4550</v>
      </c>
      <c r="E29" s="81">
        <f t="shared" si="6"/>
        <v>1248</v>
      </c>
      <c r="F29" s="81"/>
      <c r="G29" s="81">
        <v>1248</v>
      </c>
      <c r="H29" s="81"/>
      <c r="I29" s="81">
        <f t="shared" si="4"/>
        <v>13780</v>
      </c>
      <c r="J29" s="83">
        <v>4550</v>
      </c>
      <c r="K29" s="81">
        <f t="shared" si="7"/>
        <v>9230</v>
      </c>
      <c r="L29" s="83">
        <v>620</v>
      </c>
      <c r="M29" s="83">
        <f>9230-620-56.5</f>
        <v>8553.5</v>
      </c>
      <c r="N29" s="83">
        <v>56.5</v>
      </c>
      <c r="O29" s="81">
        <f t="shared" si="1"/>
        <v>237.6681614349776</v>
      </c>
      <c r="P29" s="81">
        <f t="shared" si="2"/>
        <v>100</v>
      </c>
      <c r="Q29" s="81">
        <f t="shared" si="9"/>
        <v>739.5833333333333</v>
      </c>
      <c r="R29" s="81"/>
      <c r="S29" s="81">
        <f t="shared" si="8"/>
        <v>685.3766025641025</v>
      </c>
      <c r="T29" s="81"/>
      <c r="U29" s="172">
        <f t="shared" si="5"/>
        <v>7830.5</v>
      </c>
      <c r="V29" s="171">
        <v>8507</v>
      </c>
    </row>
  </sheetData>
  <sheetProtection/>
  <mergeCells count="20">
    <mergeCell ref="A5:T5"/>
    <mergeCell ref="O8:T8"/>
    <mergeCell ref="A8:A10"/>
    <mergeCell ref="B8:B10"/>
    <mergeCell ref="A1:C1"/>
    <mergeCell ref="A2:C2"/>
    <mergeCell ref="Q1:T1"/>
    <mergeCell ref="R7:T7"/>
    <mergeCell ref="E9:H9"/>
    <mergeCell ref="C8:H8"/>
    <mergeCell ref="K9:N9"/>
    <mergeCell ref="Q9:T9"/>
    <mergeCell ref="C9:C10"/>
    <mergeCell ref="D9:D10"/>
    <mergeCell ref="I9:I10"/>
    <mergeCell ref="J9:J10"/>
    <mergeCell ref="I8:N8"/>
    <mergeCell ref="O9:O10"/>
    <mergeCell ref="P9:P10"/>
    <mergeCell ref="A4:T4"/>
  </mergeCells>
  <printOptions/>
  <pageMargins left="0.1968503937007874" right="0.1968503937007874" top="0.4330708661417323" bottom="0.4330708661417323" header="0.31496062992125984" footer="0.31496062992125984"/>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AC23"/>
  <sheetViews>
    <sheetView tabSelected="1" zoomScalePageLayoutView="0" workbookViewId="0" topLeftCell="A4">
      <pane ySplit="8" topLeftCell="A12" activePane="bottomLeft" state="frozen"/>
      <selection pane="topLeft" activeCell="A4" sqref="A4"/>
      <selection pane="bottomLeft" activeCell="A5" sqref="A5:AC5"/>
    </sheetView>
  </sheetViews>
  <sheetFormatPr defaultColWidth="9.140625" defaultRowHeight="15"/>
  <cols>
    <col min="1" max="1" width="4.57421875" style="88" customWidth="1"/>
    <col min="2" max="2" width="19.28125" style="88" customWidth="1"/>
    <col min="3" max="3" width="9.57421875" style="86" customWidth="1"/>
    <col min="4" max="4" width="8.7109375" style="86" customWidth="1"/>
    <col min="5" max="5" width="9.57421875" style="86" customWidth="1"/>
    <col min="6" max="7" width="9.7109375" style="86" customWidth="1"/>
    <col min="8" max="8" width="9.28125" style="86" customWidth="1"/>
    <col min="9" max="9" width="7.8515625" style="87" hidden="1" customWidth="1"/>
    <col min="10" max="10" width="8.140625" style="86" hidden="1" customWidth="1"/>
    <col min="11" max="11" width="9.00390625" style="86" hidden="1" customWidth="1"/>
    <col min="12" max="12" width="7.57421875" style="87" customWidth="1"/>
    <col min="13" max="13" width="7.421875" style="86" customWidth="1"/>
    <col min="14" max="14" width="6.8515625" style="86" customWidth="1"/>
    <col min="15" max="15" width="9.8515625" style="86" hidden="1" customWidth="1"/>
    <col min="16" max="16" width="10.00390625" style="86" hidden="1" customWidth="1"/>
    <col min="17" max="17" width="6.57421875" style="86" hidden="1" customWidth="1"/>
    <col min="18" max="18" width="9.00390625" style="86" customWidth="1"/>
    <col min="19" max="19" width="9.8515625" style="86" customWidth="1"/>
    <col min="20" max="20" width="7.7109375" style="86" customWidth="1"/>
    <col min="21" max="21" width="6.28125" style="86" hidden="1" customWidth="1"/>
    <col min="22" max="22" width="6.140625" style="86" hidden="1" customWidth="1"/>
    <col min="23" max="23" width="6.8515625" style="86" hidden="1" customWidth="1"/>
    <col min="24" max="24" width="7.57421875" style="86" customWidth="1"/>
    <col min="25" max="25" width="7.421875" style="86" customWidth="1"/>
    <col min="26" max="26" width="5.57421875" style="86" customWidth="1"/>
    <col min="27" max="27" width="5.28125" style="87" customWidth="1"/>
    <col min="28" max="28" width="7.00390625" style="86" customWidth="1"/>
    <col min="29" max="29" width="5.421875" style="86" customWidth="1"/>
    <col min="30" max="16384" width="9.00390625" style="88" customWidth="1"/>
  </cols>
  <sheetData>
    <row r="1" spans="1:29" ht="14.25" customHeight="1">
      <c r="A1" s="84" t="s">
        <v>0</v>
      </c>
      <c r="B1" s="85"/>
      <c r="AA1" s="297" t="s">
        <v>198</v>
      </c>
      <c r="AB1" s="297"/>
      <c r="AC1" s="297"/>
    </row>
    <row r="2" spans="1:2" ht="12">
      <c r="A2" s="84" t="s">
        <v>239</v>
      </c>
      <c r="B2" s="85"/>
    </row>
    <row r="3" spans="1:29" ht="9.75" customHeight="1">
      <c r="A3" s="84"/>
      <c r="B3" s="84"/>
      <c r="D3" s="87"/>
      <c r="E3" s="87"/>
      <c r="G3" s="87"/>
      <c r="H3" s="87"/>
      <c r="J3" s="87"/>
      <c r="K3" s="87"/>
      <c r="M3" s="87"/>
      <c r="N3" s="87"/>
      <c r="O3" s="87"/>
      <c r="P3" s="87"/>
      <c r="Q3" s="87"/>
      <c r="R3" s="87"/>
      <c r="S3" s="87"/>
      <c r="T3" s="87"/>
      <c r="U3" s="87"/>
      <c r="V3" s="87"/>
      <c r="W3" s="87"/>
      <c r="X3" s="87"/>
      <c r="Y3" s="87"/>
      <c r="Z3" s="87"/>
      <c r="AB3" s="87"/>
      <c r="AC3" s="87"/>
    </row>
    <row r="4" spans="1:29" ht="17.25" customHeight="1">
      <c r="A4" s="298" t="s">
        <v>351</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row>
    <row r="5" spans="1:29" ht="15.75" customHeight="1">
      <c r="A5" s="299" t="s">
        <v>276</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300"/>
      <c r="AB5" s="299"/>
      <c r="AC5" s="299"/>
    </row>
    <row r="6" spans="1:29" ht="12">
      <c r="A6" s="89"/>
      <c r="B6" s="89"/>
      <c r="C6" s="89"/>
      <c r="D6" s="89"/>
      <c r="E6" s="89"/>
      <c r="F6" s="89"/>
      <c r="G6" s="89"/>
      <c r="H6" s="89"/>
      <c r="I6" s="89"/>
      <c r="J6" s="89"/>
      <c r="K6" s="89"/>
      <c r="L6" s="89"/>
      <c r="M6" s="89"/>
      <c r="N6" s="89"/>
      <c r="O6" s="89"/>
      <c r="P6" s="89"/>
      <c r="Q6" s="89"/>
      <c r="R6" s="89"/>
      <c r="S6" s="89"/>
      <c r="T6" s="89"/>
      <c r="U6" s="89"/>
      <c r="V6" s="89"/>
      <c r="W6" s="89"/>
      <c r="X6" s="89"/>
      <c r="Y6" s="89"/>
      <c r="Z6" s="89"/>
      <c r="AA6" s="90"/>
      <c r="AB6" s="89"/>
      <c r="AC6" s="89"/>
    </row>
    <row r="7" spans="15:29" ht="12">
      <c r="O7" s="114"/>
      <c r="P7" s="114"/>
      <c r="Q7" s="114"/>
      <c r="R7" s="114"/>
      <c r="S7" s="114"/>
      <c r="T7" s="114"/>
      <c r="U7" s="114"/>
      <c r="V7" s="114"/>
      <c r="W7" s="114"/>
      <c r="X7" s="303" t="s">
        <v>207</v>
      </c>
      <c r="Y7" s="303"/>
      <c r="Z7" s="303"/>
      <c r="AA7" s="303"/>
      <c r="AB7" s="303"/>
      <c r="AC7" s="303"/>
    </row>
    <row r="8" spans="1:29" s="92" customFormat="1" ht="17.25" customHeight="1">
      <c r="A8" s="301" t="s">
        <v>3</v>
      </c>
      <c r="B8" s="301" t="s">
        <v>4</v>
      </c>
      <c r="C8" s="302" t="s">
        <v>28</v>
      </c>
      <c r="D8" s="302"/>
      <c r="E8" s="302"/>
      <c r="F8" s="292" t="s">
        <v>6</v>
      </c>
      <c r="G8" s="293"/>
      <c r="H8" s="293"/>
      <c r="I8" s="293"/>
      <c r="J8" s="293"/>
      <c r="K8" s="293"/>
      <c r="L8" s="293"/>
      <c r="M8" s="293"/>
      <c r="N8" s="293"/>
      <c r="O8" s="293"/>
      <c r="P8" s="293"/>
      <c r="Q8" s="293"/>
      <c r="R8" s="293"/>
      <c r="S8" s="293"/>
      <c r="T8" s="293"/>
      <c r="U8" s="293"/>
      <c r="V8" s="293"/>
      <c r="W8" s="293"/>
      <c r="X8" s="293"/>
      <c r="Y8" s="293"/>
      <c r="Z8" s="294"/>
      <c r="AA8" s="302" t="s">
        <v>7</v>
      </c>
      <c r="AB8" s="302"/>
      <c r="AC8" s="302"/>
    </row>
    <row r="9" spans="1:29" s="84" customFormat="1" ht="41.25" customHeight="1">
      <c r="A9" s="301"/>
      <c r="B9" s="301"/>
      <c r="C9" s="296" t="s">
        <v>169</v>
      </c>
      <c r="D9" s="296" t="s">
        <v>199</v>
      </c>
      <c r="E9" s="296"/>
      <c r="F9" s="296" t="s">
        <v>169</v>
      </c>
      <c r="G9" s="296" t="s">
        <v>199</v>
      </c>
      <c r="H9" s="296"/>
      <c r="I9" s="296" t="s">
        <v>208</v>
      </c>
      <c r="J9" s="296"/>
      <c r="K9" s="296"/>
      <c r="L9" s="296"/>
      <c r="M9" s="296"/>
      <c r="N9" s="296"/>
      <c r="O9" s="296" t="s">
        <v>209</v>
      </c>
      <c r="P9" s="296"/>
      <c r="Q9" s="296"/>
      <c r="R9" s="296"/>
      <c r="S9" s="296"/>
      <c r="T9" s="296"/>
      <c r="U9" s="296" t="s">
        <v>210</v>
      </c>
      <c r="V9" s="296"/>
      <c r="W9" s="296"/>
      <c r="X9" s="296"/>
      <c r="Y9" s="296"/>
      <c r="Z9" s="296"/>
      <c r="AA9" s="296" t="s">
        <v>169</v>
      </c>
      <c r="AB9" s="296" t="s">
        <v>199</v>
      </c>
      <c r="AC9" s="296"/>
    </row>
    <row r="10" spans="1:29" s="84" customFormat="1" ht="20.25" customHeight="1">
      <c r="A10" s="301"/>
      <c r="B10" s="301"/>
      <c r="C10" s="296"/>
      <c r="D10" s="296" t="s">
        <v>200</v>
      </c>
      <c r="E10" s="296" t="s">
        <v>201</v>
      </c>
      <c r="F10" s="296"/>
      <c r="G10" s="296" t="s">
        <v>200</v>
      </c>
      <c r="H10" s="296" t="s">
        <v>201</v>
      </c>
      <c r="I10" s="296" t="s">
        <v>200</v>
      </c>
      <c r="J10" s="296"/>
      <c r="K10" s="296"/>
      <c r="L10" s="296" t="s">
        <v>200</v>
      </c>
      <c r="M10" s="296"/>
      <c r="N10" s="296"/>
      <c r="O10" s="296" t="s">
        <v>200</v>
      </c>
      <c r="P10" s="296"/>
      <c r="Q10" s="296"/>
      <c r="R10" s="296" t="s">
        <v>201</v>
      </c>
      <c r="S10" s="296"/>
      <c r="T10" s="296"/>
      <c r="U10" s="296" t="s">
        <v>200</v>
      </c>
      <c r="V10" s="296"/>
      <c r="W10" s="296"/>
      <c r="X10" s="296" t="s">
        <v>201</v>
      </c>
      <c r="Y10" s="296"/>
      <c r="Z10" s="296"/>
      <c r="AA10" s="296"/>
      <c r="AB10" s="296" t="s">
        <v>200</v>
      </c>
      <c r="AC10" s="296" t="s">
        <v>201</v>
      </c>
    </row>
    <row r="11" spans="1:29" s="84" customFormat="1" ht="54.75" customHeight="1">
      <c r="A11" s="301"/>
      <c r="B11" s="301"/>
      <c r="C11" s="296"/>
      <c r="D11" s="296"/>
      <c r="E11" s="296"/>
      <c r="F11" s="296"/>
      <c r="G11" s="296"/>
      <c r="H11" s="296"/>
      <c r="I11" s="93" t="s">
        <v>169</v>
      </c>
      <c r="J11" s="93" t="s">
        <v>202</v>
      </c>
      <c r="K11" s="93" t="s">
        <v>203</v>
      </c>
      <c r="L11" s="93" t="s">
        <v>169</v>
      </c>
      <c r="M11" s="93" t="s">
        <v>202</v>
      </c>
      <c r="N11" s="93" t="s">
        <v>203</v>
      </c>
      <c r="O11" s="93" t="s">
        <v>169</v>
      </c>
      <c r="P11" s="93" t="s">
        <v>202</v>
      </c>
      <c r="Q11" s="93" t="s">
        <v>203</v>
      </c>
      <c r="R11" s="93" t="s">
        <v>169</v>
      </c>
      <c r="S11" s="93" t="s">
        <v>202</v>
      </c>
      <c r="T11" s="93" t="s">
        <v>203</v>
      </c>
      <c r="U11" s="93" t="s">
        <v>169</v>
      </c>
      <c r="V11" s="93" t="s">
        <v>202</v>
      </c>
      <c r="W11" s="93" t="s">
        <v>203</v>
      </c>
      <c r="X11" s="93" t="s">
        <v>169</v>
      </c>
      <c r="Y11" s="93" t="s">
        <v>202</v>
      </c>
      <c r="Z11" s="93" t="s">
        <v>203</v>
      </c>
      <c r="AA11" s="296"/>
      <c r="AB11" s="296"/>
      <c r="AC11" s="296"/>
    </row>
    <row r="12" spans="1:29" s="95" customFormat="1" ht="32.25" customHeight="1">
      <c r="A12" s="94" t="s">
        <v>8</v>
      </c>
      <c r="B12" s="94" t="s">
        <v>9</v>
      </c>
      <c r="C12" s="94">
        <v>1</v>
      </c>
      <c r="D12" s="94">
        <v>2</v>
      </c>
      <c r="E12" s="94">
        <v>3</v>
      </c>
      <c r="F12" s="94">
        <v>4</v>
      </c>
      <c r="G12" s="94" t="s">
        <v>211</v>
      </c>
      <c r="H12" s="94" t="s">
        <v>212</v>
      </c>
      <c r="I12" s="94" t="s">
        <v>213</v>
      </c>
      <c r="J12" s="94">
        <v>8</v>
      </c>
      <c r="K12" s="94">
        <v>9</v>
      </c>
      <c r="L12" s="94" t="s">
        <v>214</v>
      </c>
      <c r="M12" s="94">
        <v>11</v>
      </c>
      <c r="N12" s="94">
        <v>12</v>
      </c>
      <c r="O12" s="94" t="s">
        <v>215</v>
      </c>
      <c r="P12" s="94">
        <v>14</v>
      </c>
      <c r="Q12" s="94">
        <v>15</v>
      </c>
      <c r="R12" s="94" t="s">
        <v>216</v>
      </c>
      <c r="S12" s="94">
        <v>17</v>
      </c>
      <c r="T12" s="94">
        <v>18</v>
      </c>
      <c r="U12" s="94" t="s">
        <v>217</v>
      </c>
      <c r="V12" s="94">
        <v>20</v>
      </c>
      <c r="W12" s="94">
        <v>21</v>
      </c>
      <c r="X12" s="94" t="s">
        <v>218</v>
      </c>
      <c r="Y12" s="94">
        <v>23</v>
      </c>
      <c r="Z12" s="94">
        <v>24</v>
      </c>
      <c r="AA12" s="94" t="s">
        <v>219</v>
      </c>
      <c r="AB12" s="94" t="s">
        <v>220</v>
      </c>
      <c r="AC12" s="94" t="s">
        <v>221</v>
      </c>
    </row>
    <row r="13" spans="1:29" s="101" customFormat="1" ht="27" customHeight="1">
      <c r="A13" s="96"/>
      <c r="B13" s="97" t="s">
        <v>143</v>
      </c>
      <c r="C13" s="98">
        <f>C14+C17</f>
        <v>1241163.2</v>
      </c>
      <c r="D13" s="98">
        <f>D14+D17</f>
        <v>0</v>
      </c>
      <c r="E13" s="98">
        <f>E14+E17</f>
        <v>1241163.2</v>
      </c>
      <c r="F13" s="99">
        <f>SUM(G13:H13)</f>
        <v>1241163.2</v>
      </c>
      <c r="G13" s="100">
        <f aca="true" t="shared" si="0" ref="G13:Z13">G14+G17</f>
        <v>0</v>
      </c>
      <c r="H13" s="100">
        <f t="shared" si="0"/>
        <v>1241163.2</v>
      </c>
      <c r="I13" s="100">
        <f t="shared" si="0"/>
        <v>0</v>
      </c>
      <c r="J13" s="100">
        <f t="shared" si="0"/>
        <v>0</v>
      </c>
      <c r="K13" s="100">
        <f t="shared" si="0"/>
        <v>0</v>
      </c>
      <c r="L13" s="100">
        <f t="shared" si="0"/>
        <v>200000</v>
      </c>
      <c r="M13" s="100">
        <f t="shared" si="0"/>
        <v>200000</v>
      </c>
      <c r="N13" s="100">
        <f t="shared" si="0"/>
        <v>0</v>
      </c>
      <c r="O13" s="100">
        <f t="shared" si="0"/>
        <v>0</v>
      </c>
      <c r="P13" s="100">
        <f t="shared" si="0"/>
        <v>0</v>
      </c>
      <c r="Q13" s="100">
        <f t="shared" si="0"/>
        <v>0</v>
      </c>
      <c r="R13" s="100">
        <f t="shared" si="0"/>
        <v>838493.2</v>
      </c>
      <c r="S13" s="100">
        <f t="shared" si="0"/>
        <v>838493.2</v>
      </c>
      <c r="T13" s="100">
        <f t="shared" si="0"/>
        <v>0</v>
      </c>
      <c r="U13" s="100">
        <f t="shared" si="0"/>
        <v>0</v>
      </c>
      <c r="V13" s="100">
        <f t="shared" si="0"/>
        <v>0</v>
      </c>
      <c r="W13" s="100">
        <f t="shared" si="0"/>
        <v>0</v>
      </c>
      <c r="X13" s="100">
        <f t="shared" si="0"/>
        <v>202670</v>
      </c>
      <c r="Y13" s="100">
        <f t="shared" si="0"/>
        <v>202670</v>
      </c>
      <c r="Z13" s="100">
        <f t="shared" si="0"/>
        <v>0</v>
      </c>
      <c r="AA13" s="169">
        <f aca="true" t="shared" si="1" ref="AA13:AC14">F13/C13*100</f>
        <v>100</v>
      </c>
      <c r="AB13" s="169"/>
      <c r="AC13" s="169">
        <f t="shared" si="1"/>
        <v>100</v>
      </c>
    </row>
    <row r="14" spans="1:29" s="84" customFormat="1" ht="22.5" customHeight="1">
      <c r="A14" s="102" t="s">
        <v>34</v>
      </c>
      <c r="B14" s="103" t="s">
        <v>74</v>
      </c>
      <c r="C14" s="169">
        <f>SUM(D14:E14)</f>
        <v>202670</v>
      </c>
      <c r="D14" s="93">
        <f>SUM(D16:D16)</f>
        <v>0</v>
      </c>
      <c r="E14" s="169">
        <f>SUM(E16:E16)</f>
        <v>202670</v>
      </c>
      <c r="F14" s="169">
        <f>SUM(G14:H14)</f>
        <v>202670</v>
      </c>
      <c r="G14" s="169">
        <f aca="true" t="shared" si="2" ref="G14:Z14">SUM(G16:G16)</f>
        <v>0</v>
      </c>
      <c r="H14" s="169">
        <f t="shared" si="2"/>
        <v>202670</v>
      </c>
      <c r="I14" s="169">
        <f t="shared" si="2"/>
        <v>0</v>
      </c>
      <c r="J14" s="169">
        <f t="shared" si="2"/>
        <v>0</v>
      </c>
      <c r="K14" s="169">
        <f t="shared" si="2"/>
        <v>0</v>
      </c>
      <c r="L14" s="169">
        <f t="shared" si="2"/>
        <v>0</v>
      </c>
      <c r="M14" s="169">
        <f t="shared" si="2"/>
        <v>0</v>
      </c>
      <c r="N14" s="169">
        <f t="shared" si="2"/>
        <v>0</v>
      </c>
      <c r="O14" s="169">
        <f t="shared" si="2"/>
        <v>0</v>
      </c>
      <c r="P14" s="169">
        <f t="shared" si="2"/>
        <v>0</v>
      </c>
      <c r="Q14" s="169">
        <f t="shared" si="2"/>
        <v>0</v>
      </c>
      <c r="R14" s="169">
        <f t="shared" si="2"/>
        <v>0</v>
      </c>
      <c r="S14" s="169">
        <f t="shared" si="2"/>
        <v>0</v>
      </c>
      <c r="T14" s="169">
        <f t="shared" si="2"/>
        <v>0</v>
      </c>
      <c r="U14" s="169">
        <f t="shared" si="2"/>
        <v>0</v>
      </c>
      <c r="V14" s="169">
        <f t="shared" si="2"/>
        <v>0</v>
      </c>
      <c r="W14" s="169">
        <f t="shared" si="2"/>
        <v>0</v>
      </c>
      <c r="X14" s="169">
        <f t="shared" si="2"/>
        <v>202670</v>
      </c>
      <c r="Y14" s="169">
        <f t="shared" si="2"/>
        <v>202670</v>
      </c>
      <c r="Z14" s="169">
        <f t="shared" si="2"/>
        <v>0</v>
      </c>
      <c r="AA14" s="169">
        <f t="shared" si="1"/>
        <v>100</v>
      </c>
      <c r="AB14" s="169"/>
      <c r="AC14" s="169">
        <f t="shared" si="1"/>
        <v>100</v>
      </c>
    </row>
    <row r="15" spans="1:29" s="166" customFormat="1" ht="22.5" customHeight="1">
      <c r="A15" s="162"/>
      <c r="B15" s="163" t="s">
        <v>50</v>
      </c>
      <c r="C15" s="164"/>
      <c r="D15" s="164"/>
      <c r="E15" s="165"/>
      <c r="F15" s="164"/>
      <c r="G15" s="164"/>
      <c r="H15" s="164"/>
      <c r="I15" s="164"/>
      <c r="J15" s="164"/>
      <c r="K15" s="164"/>
      <c r="L15" s="164"/>
      <c r="M15" s="165"/>
      <c r="N15" s="164"/>
      <c r="O15" s="164"/>
      <c r="P15" s="164"/>
      <c r="Q15" s="164"/>
      <c r="R15" s="164"/>
      <c r="S15" s="164"/>
      <c r="T15" s="164"/>
      <c r="U15" s="164"/>
      <c r="V15" s="164"/>
      <c r="W15" s="164"/>
      <c r="X15" s="164"/>
      <c r="Y15" s="164"/>
      <c r="Z15" s="164"/>
      <c r="AA15" s="173"/>
      <c r="AB15" s="173"/>
      <c r="AC15" s="173"/>
    </row>
    <row r="16" spans="1:29" ht="24" customHeight="1">
      <c r="A16" s="104" t="s">
        <v>355</v>
      </c>
      <c r="B16" s="106" t="s">
        <v>161</v>
      </c>
      <c r="C16" s="105">
        <f aca="true" t="shared" si="3" ref="C16:C22">SUM(D16:E16)</f>
        <v>202670</v>
      </c>
      <c r="D16" s="105"/>
      <c r="E16" s="105">
        <v>202670</v>
      </c>
      <c r="F16" s="105">
        <f>SUM(G16:H16)</f>
        <v>202670</v>
      </c>
      <c r="G16" s="105">
        <f>I16+O16+U16</f>
        <v>0</v>
      </c>
      <c r="H16" s="105">
        <f>L16+R16+X16</f>
        <v>202670</v>
      </c>
      <c r="I16" s="105">
        <f>SUM(J16:K16)</f>
        <v>0</v>
      </c>
      <c r="J16" s="107"/>
      <c r="K16" s="107"/>
      <c r="L16" s="105">
        <f aca="true" t="shared" si="4" ref="L16:L23">SUM(M16:N16)</f>
        <v>0</v>
      </c>
      <c r="M16" s="107"/>
      <c r="N16" s="107"/>
      <c r="O16" s="105">
        <f aca="true" t="shared" si="5" ref="O16:O23">SUM(P16:Q16)</f>
        <v>0</v>
      </c>
      <c r="P16" s="107"/>
      <c r="Q16" s="107"/>
      <c r="R16" s="105">
        <f aca="true" t="shared" si="6" ref="R16:R23">SUM(S16:T16)</f>
        <v>0</v>
      </c>
      <c r="S16" s="107"/>
      <c r="T16" s="107"/>
      <c r="U16" s="105">
        <f aca="true" t="shared" si="7" ref="U16:U23">SUM(V16:W16)</f>
        <v>0</v>
      </c>
      <c r="V16" s="107"/>
      <c r="W16" s="107"/>
      <c r="X16" s="105">
        <f aca="true" t="shared" si="8" ref="X16:X23">SUM(Y16:Z16)</f>
        <v>202670</v>
      </c>
      <c r="Y16" s="105">
        <v>202670</v>
      </c>
      <c r="Z16" s="107"/>
      <c r="AA16" s="105">
        <f>F16/C16*100</f>
        <v>100</v>
      </c>
      <c r="AB16" s="105"/>
      <c r="AC16" s="105">
        <f>H16/E16*100</f>
        <v>100</v>
      </c>
    </row>
    <row r="17" spans="1:29" s="84" customFormat="1" ht="23.25" customHeight="1">
      <c r="A17" s="102" t="s">
        <v>25</v>
      </c>
      <c r="B17" s="103" t="s">
        <v>75</v>
      </c>
      <c r="C17" s="93">
        <f>SUM(D17:E17)</f>
        <v>1038493.2</v>
      </c>
      <c r="D17" s="93">
        <f>SUM(D18:D23)</f>
        <v>0</v>
      </c>
      <c r="E17" s="93">
        <f>SUM(E18:E23)</f>
        <v>1038493.2</v>
      </c>
      <c r="F17" s="93">
        <f>SUM(G17:H17)</f>
        <v>1038493.2</v>
      </c>
      <c r="G17" s="93">
        <f>I17+O17+U17</f>
        <v>0</v>
      </c>
      <c r="H17" s="93">
        <f>L17+R17+X17</f>
        <v>1038493.2</v>
      </c>
      <c r="I17" s="93">
        <f>SUM(J17:K17)</f>
        <v>0</v>
      </c>
      <c r="J17" s="93">
        <f>SUM(J18:J23)</f>
        <v>0</v>
      </c>
      <c r="K17" s="93">
        <f>SUM(K18:K23)</f>
        <v>0</v>
      </c>
      <c r="L17" s="93">
        <f t="shared" si="4"/>
        <v>200000</v>
      </c>
      <c r="M17" s="93">
        <f>SUM(M18:M23)</f>
        <v>200000</v>
      </c>
      <c r="N17" s="93">
        <f>SUM(N18:N23)</f>
        <v>0</v>
      </c>
      <c r="O17" s="93">
        <f t="shared" si="5"/>
        <v>0</v>
      </c>
      <c r="P17" s="93">
        <f>SUM(P18:P23)</f>
        <v>0</v>
      </c>
      <c r="Q17" s="93">
        <f>SUM(Q18:Q23)</f>
        <v>0</v>
      </c>
      <c r="R17" s="93">
        <f t="shared" si="6"/>
        <v>838493.2</v>
      </c>
      <c r="S17" s="93">
        <f>SUM(S18:S23)</f>
        <v>838493.2</v>
      </c>
      <c r="T17" s="93">
        <f>SUM(T18:T23)</f>
        <v>0</v>
      </c>
      <c r="U17" s="93">
        <f t="shared" si="7"/>
        <v>0</v>
      </c>
      <c r="V17" s="93">
        <f>SUM(V18:V23)</f>
        <v>0</v>
      </c>
      <c r="W17" s="93">
        <f>SUM(W18:W23)</f>
        <v>0</v>
      </c>
      <c r="X17" s="93">
        <f t="shared" si="8"/>
        <v>0</v>
      </c>
      <c r="Y17" s="93">
        <f>SUM(Y18:Y23)</f>
        <v>0</v>
      </c>
      <c r="Z17" s="93">
        <f>SUM(Z18:Z23)</f>
        <v>0</v>
      </c>
      <c r="AA17" s="169">
        <f aca="true" t="shared" si="9" ref="AA17:AC19">F17/C17*100</f>
        <v>100</v>
      </c>
      <c r="AB17" s="169"/>
      <c r="AC17" s="169">
        <f t="shared" si="9"/>
        <v>100</v>
      </c>
    </row>
    <row r="18" spans="1:29" ht="22.5" customHeight="1">
      <c r="A18" s="108">
        <v>1</v>
      </c>
      <c r="B18" s="106" t="s">
        <v>352</v>
      </c>
      <c r="C18" s="105">
        <f t="shared" si="3"/>
        <v>256500</v>
      </c>
      <c r="D18" s="105"/>
      <c r="E18" s="105">
        <v>256500</v>
      </c>
      <c r="F18" s="105">
        <f>SUM(G18:H18)</f>
        <v>256500</v>
      </c>
      <c r="G18" s="105">
        <f>I18+O18+U18</f>
        <v>0</v>
      </c>
      <c r="H18" s="105">
        <f>L18+R18+X18</f>
        <v>256500</v>
      </c>
      <c r="I18" s="105">
        <f>SUM(J18:K18)</f>
        <v>0</v>
      </c>
      <c r="J18" s="107"/>
      <c r="K18" s="107"/>
      <c r="L18" s="105">
        <f t="shared" si="4"/>
        <v>200000</v>
      </c>
      <c r="M18" s="105">
        <v>200000</v>
      </c>
      <c r="N18" s="107"/>
      <c r="O18" s="105">
        <f t="shared" si="5"/>
        <v>0</v>
      </c>
      <c r="P18" s="107"/>
      <c r="Q18" s="107"/>
      <c r="R18" s="105">
        <f t="shared" si="6"/>
        <v>56500</v>
      </c>
      <c r="S18" s="107">
        <v>56500</v>
      </c>
      <c r="T18" s="107"/>
      <c r="U18" s="105">
        <f t="shared" si="7"/>
        <v>0</v>
      </c>
      <c r="V18" s="107"/>
      <c r="W18" s="107"/>
      <c r="X18" s="105">
        <f t="shared" si="8"/>
        <v>0</v>
      </c>
      <c r="Y18" s="107"/>
      <c r="Z18" s="107"/>
      <c r="AA18" s="105">
        <f t="shared" si="9"/>
        <v>100</v>
      </c>
      <c r="AB18" s="105"/>
      <c r="AC18" s="105">
        <f t="shared" si="9"/>
        <v>100</v>
      </c>
    </row>
    <row r="19" spans="1:29" ht="22.5" customHeight="1">
      <c r="A19" s="108">
        <v>2</v>
      </c>
      <c r="B19" s="106" t="s">
        <v>204</v>
      </c>
      <c r="C19" s="105">
        <f t="shared" si="3"/>
        <v>56500</v>
      </c>
      <c r="D19" s="105"/>
      <c r="E19" s="105">
        <v>56500</v>
      </c>
      <c r="F19" s="105">
        <f>SUM(G19:H19)</f>
        <v>56500</v>
      </c>
      <c r="G19" s="105">
        <f>I19+O19+U19</f>
        <v>0</v>
      </c>
      <c r="H19" s="105">
        <f>L19+R19+X19</f>
        <v>56500</v>
      </c>
      <c r="I19" s="105">
        <f>SUM(J19:K19)</f>
        <v>0</v>
      </c>
      <c r="J19" s="107"/>
      <c r="K19" s="107"/>
      <c r="L19" s="105">
        <f t="shared" si="4"/>
        <v>0</v>
      </c>
      <c r="M19" s="105"/>
      <c r="N19" s="107"/>
      <c r="O19" s="105">
        <f t="shared" si="5"/>
        <v>0</v>
      </c>
      <c r="P19" s="107"/>
      <c r="Q19" s="107"/>
      <c r="R19" s="105">
        <f t="shared" si="6"/>
        <v>56500</v>
      </c>
      <c r="S19" s="107">
        <v>56500</v>
      </c>
      <c r="T19" s="107"/>
      <c r="U19" s="105">
        <f t="shared" si="7"/>
        <v>0</v>
      </c>
      <c r="V19" s="107"/>
      <c r="W19" s="107"/>
      <c r="X19" s="105">
        <f t="shared" si="8"/>
        <v>0</v>
      </c>
      <c r="Y19" s="107"/>
      <c r="Z19" s="107"/>
      <c r="AA19" s="105">
        <f t="shared" si="9"/>
        <v>100</v>
      </c>
      <c r="AB19" s="105"/>
      <c r="AC19" s="105">
        <f t="shared" si="9"/>
        <v>100</v>
      </c>
    </row>
    <row r="20" spans="1:29" ht="22.5" customHeight="1">
      <c r="A20" s="108">
        <v>3</v>
      </c>
      <c r="B20" s="106" t="s">
        <v>205</v>
      </c>
      <c r="C20" s="105">
        <f t="shared" si="3"/>
        <v>56500</v>
      </c>
      <c r="D20" s="105"/>
      <c r="E20" s="105">
        <v>56500</v>
      </c>
      <c r="F20" s="105">
        <f>SUM(G20:H20)</f>
        <v>56500</v>
      </c>
      <c r="G20" s="105">
        <f>I20+O20+U20</f>
        <v>0</v>
      </c>
      <c r="H20" s="105">
        <f>L20+R20+X20</f>
        <v>56500</v>
      </c>
      <c r="I20" s="105">
        <f>SUM(J20:K20)</f>
        <v>0</v>
      </c>
      <c r="J20" s="107"/>
      <c r="K20" s="107"/>
      <c r="L20" s="105">
        <f t="shared" si="4"/>
        <v>0</v>
      </c>
      <c r="M20" s="105"/>
      <c r="N20" s="107"/>
      <c r="O20" s="105">
        <f t="shared" si="5"/>
        <v>0</v>
      </c>
      <c r="P20" s="107"/>
      <c r="Q20" s="107"/>
      <c r="R20" s="105">
        <f t="shared" si="6"/>
        <v>56500</v>
      </c>
      <c r="S20" s="107">
        <v>56500</v>
      </c>
      <c r="T20" s="107"/>
      <c r="U20" s="105">
        <f t="shared" si="7"/>
        <v>0</v>
      </c>
      <c r="V20" s="107"/>
      <c r="W20" s="107"/>
      <c r="X20" s="105">
        <f t="shared" si="8"/>
        <v>0</v>
      </c>
      <c r="Y20" s="107"/>
      <c r="Z20" s="107"/>
      <c r="AA20" s="105">
        <f>F20/C20*100</f>
        <v>100</v>
      </c>
      <c r="AB20" s="105"/>
      <c r="AC20" s="105">
        <f>H20/E20*100</f>
        <v>100</v>
      </c>
    </row>
    <row r="21" spans="1:29" ht="22.5" customHeight="1">
      <c r="A21" s="108">
        <v>4</v>
      </c>
      <c r="B21" s="106" t="s">
        <v>206</v>
      </c>
      <c r="C21" s="105">
        <f t="shared" si="3"/>
        <v>56500</v>
      </c>
      <c r="D21" s="105"/>
      <c r="E21" s="105">
        <v>56500</v>
      </c>
      <c r="F21" s="105">
        <f>SUM(G21:H21)</f>
        <v>56500</v>
      </c>
      <c r="G21" s="105">
        <f>I21+O21+U21</f>
        <v>0</v>
      </c>
      <c r="H21" s="105">
        <f>L21+R21+X21</f>
        <v>56500</v>
      </c>
      <c r="I21" s="105">
        <f>SUM(J21:K21)</f>
        <v>0</v>
      </c>
      <c r="J21" s="107"/>
      <c r="K21" s="107"/>
      <c r="L21" s="105">
        <f t="shared" si="4"/>
        <v>0</v>
      </c>
      <c r="M21" s="105"/>
      <c r="N21" s="107"/>
      <c r="O21" s="105">
        <f t="shared" si="5"/>
        <v>0</v>
      </c>
      <c r="P21" s="107"/>
      <c r="Q21" s="107"/>
      <c r="R21" s="105">
        <f t="shared" si="6"/>
        <v>56500</v>
      </c>
      <c r="S21" s="107">
        <v>56500</v>
      </c>
      <c r="T21" s="107"/>
      <c r="U21" s="105">
        <f t="shared" si="7"/>
        <v>0</v>
      </c>
      <c r="V21" s="107"/>
      <c r="W21" s="107"/>
      <c r="X21" s="105">
        <f t="shared" si="8"/>
        <v>0</v>
      </c>
      <c r="Y21" s="107"/>
      <c r="Z21" s="107"/>
      <c r="AA21" s="105">
        <f>F21/C21*100</f>
        <v>100</v>
      </c>
      <c r="AB21" s="105"/>
      <c r="AC21" s="105">
        <f>H21/E21*100</f>
        <v>100</v>
      </c>
    </row>
    <row r="22" spans="1:29" ht="22.5" customHeight="1">
      <c r="A22" s="108">
        <v>5</v>
      </c>
      <c r="B22" s="106" t="s">
        <v>353</v>
      </c>
      <c r="C22" s="105">
        <f t="shared" si="3"/>
        <v>555993.2</v>
      </c>
      <c r="D22" s="105"/>
      <c r="E22" s="105">
        <v>555993.2</v>
      </c>
      <c r="F22" s="105">
        <f>SUM(G22:H22)</f>
        <v>555993.2</v>
      </c>
      <c r="G22" s="105">
        <f>I22+O22+U22</f>
        <v>0</v>
      </c>
      <c r="H22" s="105">
        <f>L22+R22+X22</f>
        <v>555993.2</v>
      </c>
      <c r="I22" s="105">
        <f>SUM(J22:K22)</f>
        <v>0</v>
      </c>
      <c r="J22" s="107"/>
      <c r="K22" s="107"/>
      <c r="L22" s="105">
        <f t="shared" si="4"/>
        <v>0</v>
      </c>
      <c r="M22" s="107"/>
      <c r="N22" s="107"/>
      <c r="O22" s="105">
        <f t="shared" si="5"/>
        <v>0</v>
      </c>
      <c r="P22" s="107"/>
      <c r="Q22" s="107"/>
      <c r="R22" s="105">
        <f t="shared" si="6"/>
        <v>555993.2</v>
      </c>
      <c r="S22" s="107">
        <f>56500+499493.2</f>
        <v>555993.2</v>
      </c>
      <c r="T22" s="107"/>
      <c r="U22" s="105">
        <f t="shared" si="7"/>
        <v>0</v>
      </c>
      <c r="V22" s="107"/>
      <c r="W22" s="107"/>
      <c r="X22" s="105">
        <f t="shared" si="8"/>
        <v>0</v>
      </c>
      <c r="Y22" s="107"/>
      <c r="Z22" s="107"/>
      <c r="AA22" s="105">
        <f>F22/C22*100</f>
        <v>100</v>
      </c>
      <c r="AB22" s="105"/>
      <c r="AC22" s="105">
        <f>H22/E22*100</f>
        <v>100</v>
      </c>
    </row>
    <row r="23" spans="1:29" ht="22.5" customHeight="1">
      <c r="A23" s="109">
        <v>6</v>
      </c>
      <c r="B23" s="110" t="s">
        <v>354</v>
      </c>
      <c r="C23" s="111">
        <f>SUM(D23:E23)</f>
        <v>56500</v>
      </c>
      <c r="D23" s="111"/>
      <c r="E23" s="111">
        <v>56500</v>
      </c>
      <c r="F23" s="111">
        <f>SUM(G23:H23)</f>
        <v>56500</v>
      </c>
      <c r="G23" s="111">
        <f>I23+O23+U23</f>
        <v>0</v>
      </c>
      <c r="H23" s="111">
        <f>L23+R23+X23</f>
        <v>56500</v>
      </c>
      <c r="I23" s="111">
        <f>SUM(J23:K23)</f>
        <v>0</v>
      </c>
      <c r="J23" s="112"/>
      <c r="K23" s="112"/>
      <c r="L23" s="111">
        <f t="shared" si="4"/>
        <v>0</v>
      </c>
      <c r="M23" s="112"/>
      <c r="N23" s="113"/>
      <c r="O23" s="111">
        <f t="shared" si="5"/>
        <v>0</v>
      </c>
      <c r="P23" s="113"/>
      <c r="Q23" s="113"/>
      <c r="R23" s="111">
        <f t="shared" si="6"/>
        <v>56500</v>
      </c>
      <c r="S23" s="113">
        <v>56500</v>
      </c>
      <c r="T23" s="113"/>
      <c r="U23" s="111">
        <f t="shared" si="7"/>
        <v>0</v>
      </c>
      <c r="V23" s="113"/>
      <c r="W23" s="113"/>
      <c r="X23" s="111">
        <f t="shared" si="8"/>
        <v>0</v>
      </c>
      <c r="Y23" s="113"/>
      <c r="Z23" s="113"/>
      <c r="AA23" s="111">
        <f>F23/C23*100</f>
        <v>100</v>
      </c>
      <c r="AB23" s="111"/>
      <c r="AC23" s="111">
        <f>H23/E23*100</f>
        <v>100</v>
      </c>
    </row>
  </sheetData>
  <sheetProtection/>
  <mergeCells count="30">
    <mergeCell ref="X7:AC7"/>
    <mergeCell ref="F8:Z8"/>
    <mergeCell ref="O9:T9"/>
    <mergeCell ref="O10:Q10"/>
    <mergeCell ref="L10:N10"/>
    <mergeCell ref="I9:N9"/>
    <mergeCell ref="AA9:AA11"/>
    <mergeCell ref="AB9:AC9"/>
    <mergeCell ref="U10:W10"/>
    <mergeCell ref="X10:Z10"/>
    <mergeCell ref="H10:H11"/>
    <mergeCell ref="I10:K10"/>
    <mergeCell ref="G9:H9"/>
    <mergeCell ref="AB10:AB11"/>
    <mergeCell ref="G10:G11"/>
    <mergeCell ref="AA1:AC1"/>
    <mergeCell ref="A4:AC4"/>
    <mergeCell ref="A5:AC5"/>
    <mergeCell ref="A8:A11"/>
    <mergeCell ref="B8:B11"/>
    <mergeCell ref="C8:E8"/>
    <mergeCell ref="AA8:AC8"/>
    <mergeCell ref="C9:C11"/>
    <mergeCell ref="D9:E9"/>
    <mergeCell ref="F9:F11"/>
    <mergeCell ref="D10:D11"/>
    <mergeCell ref="E10:E11"/>
    <mergeCell ref="AC10:AC11"/>
    <mergeCell ref="U9:Z9"/>
    <mergeCell ref="R10:T10"/>
  </mergeCells>
  <printOptions/>
  <pageMargins left="0.3" right="0.19" top="0.39" bottom="0.43" header="0.3" footer="0.3"/>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2022-08-05T08:50:25Z</cp:lastPrinted>
  <dcterms:created xsi:type="dcterms:W3CDTF">2019-11-03T02:28:52Z</dcterms:created>
  <dcterms:modified xsi:type="dcterms:W3CDTF">2022-08-08T01:39:28Z</dcterms:modified>
  <cp:category/>
  <cp:version/>
  <cp:contentType/>
  <cp:contentStatus/>
</cp:coreProperties>
</file>